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0j5XEs1UHu7Phv4oBqlvVZajxHs1/696f0COoav8phodNV7ChXjJeWRTknq/GjfLArh8xD299J3Hizoo3mt9YQ==" workbookSaltValue="cfrTG3z1WTCw9NG27b2B9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ER19" i="8"/>
  <c r="EL19" i="8"/>
  <c r="EQ19" i="8"/>
  <c r="ES19" i="8"/>
  <c r="BH19" i="13"/>
  <c r="R19" i="8"/>
  <c r="EP19" i="8"/>
  <c r="EP19" i="19"/>
  <c r="AT17" i="20"/>
  <c r="AL9" i="11"/>
  <c r="K18" i="2"/>
  <c r="F9" i="2"/>
  <c r="M13" i="2"/>
  <c r="N13" i="2"/>
  <c r="H13" i="12"/>
  <c r="T13" i="12"/>
  <c r="T13" i="16"/>
  <c r="T13" i="20"/>
  <c r="BF9" i="8"/>
  <c r="J18" i="17"/>
  <c r="BG15" i="13"/>
  <c r="BE15" i="13"/>
  <c r="AH20" i="20"/>
  <c r="AL20" i="20"/>
  <c r="AB20" i="20"/>
  <c r="AO20" i="20"/>
  <c r="AN20" i="20"/>
  <c r="Y20" i="20"/>
  <c r="U10" i="11"/>
  <c r="BD12" i="8" l="1"/>
  <c r="AC10" i="11"/>
  <c r="D10" i="6"/>
  <c r="BE10" i="8"/>
  <c r="AL12" i="11"/>
  <c r="B10" i="6"/>
  <c r="H12" i="7"/>
  <c r="R8" i="9"/>
  <c r="AP16" i="20" s="1"/>
  <c r="E12" i="6"/>
  <c r="AO12" i="11"/>
  <c r="H12" i="2"/>
  <c r="AY13" i="8"/>
  <c r="BG15" i="8"/>
  <c r="K15" i="7" s="1"/>
  <c r="BD16" i="8"/>
  <c r="H16" i="7" s="1"/>
  <c r="L9" i="14"/>
  <c r="L12" i="14"/>
  <c r="C10" i="6"/>
  <c r="AO17" i="11"/>
  <c r="L16" i="14"/>
  <c r="L17" i="14"/>
  <c r="AY13" i="13"/>
  <c r="BE9" i="13"/>
  <c r="BA13" i="13"/>
  <c r="F15" i="17"/>
  <c r="AQ15" i="17" s="1"/>
  <c r="BF15" i="13"/>
  <c r="BG16" i="13"/>
  <c r="BE16" i="13"/>
  <c r="BB13" i="13"/>
  <c r="BE13" i="13" s="1"/>
  <c r="BH11" i="11"/>
  <c r="BH9" i="16"/>
  <c r="BF16" i="11"/>
  <c r="BH9" i="11"/>
  <c r="R17" i="20"/>
  <c r="R18" i="20" s="1"/>
  <c r="BU15" i="17"/>
  <c r="BW16" i="20"/>
  <c r="BV10" i="16"/>
  <c r="AZ16" i="11"/>
  <c r="BF12" i="11"/>
  <c r="Q15" i="17"/>
  <c r="BH12" i="16"/>
  <c r="V10" i="16"/>
  <c r="Q17" i="20"/>
  <c r="Q18" i="20" s="1"/>
  <c r="BM12" i="11"/>
  <c r="BL11" i="11"/>
  <c r="T15" i="16"/>
  <c r="BV12" i="16"/>
  <c r="U10" i="17"/>
  <c r="AZ12" i="11"/>
  <c r="AQ10" i="21"/>
  <c r="BH16" i="11"/>
  <c r="S17" i="14"/>
  <c r="V17" i="14" s="1"/>
  <c r="S9" i="14"/>
  <c r="V9" i="14" s="1"/>
  <c r="X10" i="17"/>
  <c r="X11" i="17"/>
  <c r="V12" i="21"/>
  <c r="S15" i="17"/>
  <c r="X15" i="16"/>
  <c r="X18" i="16" s="1"/>
  <c r="V9" i="11"/>
  <c r="BK15" i="11"/>
  <c r="BL17" i="11"/>
  <c r="BH17" i="16"/>
  <c r="T9" i="11"/>
  <c r="R17" i="14"/>
  <c r="AA16" i="16"/>
  <c r="X17" i="17"/>
  <c r="V15" i="16"/>
  <c r="AZ11" i="11"/>
  <c r="L12" i="2"/>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BD15" i="8"/>
  <c r="H15" i="7" s="1"/>
  <c r="AM12" i="11"/>
  <c r="D17" i="2"/>
  <c r="AM16" i="11"/>
  <c r="L19" i="8"/>
  <c r="J12" i="2"/>
  <c r="E18" i="12"/>
  <c r="B18" i="2"/>
  <c r="G17" i="3"/>
  <c r="I10" i="3"/>
  <c r="D13" i="5"/>
  <c r="BF11" i="8"/>
  <c r="J11" i="7" s="1"/>
  <c r="BE12" i="8"/>
  <c r="I12" i="7" s="1"/>
  <c r="BE15" i="8"/>
  <c r="C16" i="6"/>
  <c r="U19" i="8"/>
  <c r="Y19" i="8"/>
  <c r="AI19" i="8"/>
  <c r="BK19" i="8"/>
  <c r="B11" i="6"/>
  <c r="C12" i="14"/>
  <c r="K12" i="14" s="1"/>
  <c r="K18" i="11"/>
  <c r="E9" i="6"/>
  <c r="I9" i="7"/>
  <c r="H9" i="7"/>
  <c r="K9" i="7"/>
  <c r="AM9" i="11"/>
  <c r="AO11" i="11"/>
  <c r="AL11" i="11"/>
  <c r="AO15" i="11"/>
  <c r="AN17" i="11"/>
  <c r="D15" i="6"/>
  <c r="AN11" i="11"/>
  <c r="M18" i="2"/>
  <c r="N18" i="2"/>
  <c r="BB19" i="19"/>
  <c r="CJ19" i="19"/>
  <c r="Y19" i="19"/>
  <c r="AG19" i="19"/>
  <c r="W13" i="17"/>
  <c r="BD17" i="13"/>
  <c r="BE17" i="13"/>
  <c r="BF9" i="13"/>
  <c r="BE10" i="13"/>
  <c r="BG9" i="13"/>
  <c r="ER19" i="13"/>
  <c r="T10" i="2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I10" i="12"/>
  <c r="F13" i="2"/>
  <c r="J18" i="2"/>
  <c r="AP13" i="20"/>
  <c r="V10" i="21"/>
  <c r="X13" i="17"/>
  <c r="AO12" i="17"/>
  <c r="AO10" i="17"/>
  <c r="AO15" i="17"/>
  <c r="X12" i="16"/>
  <c r="AZ17" i="11"/>
  <c r="S11" i="17"/>
  <c r="AA11" i="16"/>
  <c r="X12" i="17"/>
  <c r="T11" i="11"/>
  <c r="S16" i="14"/>
  <c r="V16" i="14" s="1"/>
  <c r="BH11" i="16"/>
  <c r="BM16" i="11"/>
  <c r="BF10" i="11"/>
  <c r="BI10" i="11"/>
  <c r="R10" i="21"/>
  <c r="X9" i="16"/>
  <c r="X19" i="16" s="1"/>
  <c r="X16" i="20"/>
  <c r="X17" i="20"/>
  <c r="X15" i="17"/>
  <c r="T15" i="11"/>
  <c r="R12" i="14"/>
  <c r="R13" i="14" s="1"/>
  <c r="L16" i="2"/>
  <c r="BK16" i="11"/>
  <c r="Q17" i="17"/>
  <c r="Q18" i="17" s="1"/>
  <c r="Q19" i="17" s="1"/>
  <c r="V12" i="16"/>
  <c r="BV11" i="16"/>
  <c r="BV17" i="16"/>
  <c r="BM15" i="11"/>
  <c r="BJ12" i="11"/>
  <c r="S17" i="16"/>
  <c r="V15" i="11"/>
  <c r="L15" i="2"/>
  <c r="BF15" i="11"/>
  <c r="BL10" i="11"/>
  <c r="S15" i="16"/>
  <c r="BU16" i="17"/>
  <c r="BW15" i="20"/>
  <c r="BW17" i="20"/>
  <c r="AZ9" i="11"/>
  <c r="AP15" i="20"/>
  <c r="V17" i="16"/>
  <c r="BH15" i="16"/>
  <c r="BL16" i="11"/>
  <c r="L9" i="2"/>
  <c r="U9" i="17"/>
  <c r="U19" i="17" s="1"/>
  <c r="X12" i="21"/>
  <c r="BI9" i="11"/>
  <c r="BJ16" i="11"/>
  <c r="T17" i="11"/>
  <c r="BJ17" i="11"/>
  <c r="V11" i="16"/>
  <c r="BL12" i="11"/>
  <c r="AP10" i="21"/>
  <c r="BJ15" i="11"/>
  <c r="BJ18" i="11" s="1"/>
  <c r="BG15" i="11"/>
  <c r="BK17" i="11"/>
  <c r="AP17" i="20"/>
  <c r="BW9" i="20"/>
  <c r="BW21" i="20" s="1"/>
  <c r="BV16" i="16"/>
  <c r="BV15" i="16"/>
  <c r="BU9" i="17"/>
  <c r="BU17" i="17"/>
  <c r="BV9" i="16"/>
  <c r="T16" i="11"/>
  <c r="P15" i="17"/>
  <c r="BL15" i="11"/>
  <c r="Q15" i="11" s="1"/>
  <c r="BH10" i="16"/>
  <c r="BM17" i="11"/>
  <c r="P17" i="11" s="1"/>
  <c r="BM9" i="11"/>
  <c r="BK10" i="11"/>
  <c r="L17" i="2"/>
  <c r="V9" i="16"/>
  <c r="BH15" i="11"/>
  <c r="BF17" i="11"/>
  <c r="BF18" i="11" s="1"/>
  <c r="BK11" i="11"/>
  <c r="BI15" i="11"/>
  <c r="BG9" i="11"/>
  <c r="BH17" i="11"/>
  <c r="T17" i="16"/>
  <c r="BU11" i="17"/>
  <c r="BU21" i="17" s="1"/>
  <c r="BU10" i="17"/>
  <c r="BW12" i="20"/>
  <c r="BW11" i="20"/>
  <c r="BW10" i="20"/>
  <c r="BU12" i="17"/>
  <c r="BG12" i="11"/>
  <c r="Q12" i="11" s="1"/>
  <c r="BH10" i="11"/>
  <c r="BJ10" i="11"/>
  <c r="BG16" i="11"/>
  <c r="AQ12" i="21"/>
  <c r="S10" i="14"/>
  <c r="V10" i="14" s="1"/>
  <c r="R10" i="14"/>
  <c r="R16" i="14"/>
  <c r="S15" i="14"/>
  <c r="V15" i="14" s="1"/>
  <c r="X16" i="17"/>
  <c r="AA15" i="16"/>
  <c r="X9" i="17"/>
  <c r="T17" i="20"/>
  <c r="U10" i="21"/>
  <c r="AA12" i="21"/>
  <c r="S10" i="17"/>
  <c r="L11" i="2"/>
  <c r="V15" i="20"/>
  <c r="V18" i="20" s="1"/>
  <c r="BI17" i="11"/>
  <c r="BJ11" i="11"/>
  <c r="Q10" i="21"/>
  <c r="Q13" i="21" s="1"/>
  <c r="Q19" i="21" s="1"/>
  <c r="V11" i="11"/>
  <c r="BK9" i="11"/>
  <c r="BK13" i="11" s="1"/>
  <c r="BK12" i="11"/>
  <c r="P17" i="17"/>
  <c r="P18" i="17" s="1"/>
  <c r="P19" i="17" s="1"/>
  <c r="BG10" i="11"/>
  <c r="BL9" i="11"/>
  <c r="BF11" i="11"/>
  <c r="S12" i="14"/>
  <c r="V12" i="14" s="1"/>
  <c r="R11" i="14"/>
  <c r="T12" i="11"/>
  <c r="S11" i="14"/>
  <c r="V11" i="14" s="1"/>
  <c r="AA10" i="16"/>
  <c r="AA17" i="16"/>
  <c r="AA9" i="16"/>
  <c r="X13" i="20"/>
  <c r="S9" i="17"/>
  <c r="S17" i="17"/>
  <c r="AZ15" i="11"/>
  <c r="AZ18" i="11" s="1"/>
  <c r="L10" i="2"/>
  <c r="X10" i="21"/>
  <c r="X19" i="21" s="1"/>
  <c r="S16" i="17"/>
  <c r="AM15" i="11"/>
  <c r="AO16" i="17"/>
  <c r="AO17" i="17"/>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I19" i="8"/>
  <c r="Q9" i="1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K18" i="11"/>
  <c r="K12" i="12"/>
  <c r="AJ18" i="11"/>
  <c r="D18" i="5"/>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P9" i="11"/>
  <c r="Q10" i="11"/>
  <c r="AQ19" i="20"/>
  <c r="D11" i="6"/>
  <c r="J11" i="12" s="1"/>
  <c r="E11" i="3"/>
  <c r="R15" i="14"/>
  <c r="BH16" i="16"/>
  <c r="AM17" i="11"/>
  <c r="BI16" i="1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V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S19" i="16"/>
  <c r="S13" i="14"/>
  <c r="BI18" i="11"/>
  <c r="BL18" i="11"/>
  <c r="P15" i="11"/>
  <c r="AZ19" i="11"/>
  <c r="AZ13" i="11"/>
  <c r="S18" i="16"/>
  <c r="R13" i="21"/>
  <c r="R19" i="21"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<sst xmlns="http://schemas.openxmlformats.org/spreadsheetml/2006/main" count="2102" uniqueCount="917">
  <si>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</si>
  <si>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</si>
  <si>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</si>
  <si>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</si>
  <si>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</si>
  <si>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</si>
  <si>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</si>
  <si>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</si>
  <si>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</si>
  <si>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</si>
  <si>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</si>
  <si>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</si>
  <si>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</si>
  <si>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</si>
  <si>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</si>
  <si>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</si>
  <si>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</si>
  <si>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</si>
  <si>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</si>
  <si>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</si>
  <si>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</si>
  <si>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</si>
  <si>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</si>
  <si>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</si>
  <si>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</si>
  <si>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</si>
  <si>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</si>
  <si>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</si>
  <si>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</si>
  <si>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</si>
  <si>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</si>
  <si>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</si>
  <si>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</si>
  <si>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</si>
  <si>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</si>
  <si>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</si>
  <si>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</si>
  <si>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</si>
  <si>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</si>
  <si>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</si>
  <si>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</si>
  <si>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</si>
  <si>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</si>
  <si>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</si>
  <si>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</si>
  <si>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</si>
  <si>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</si>
  <si>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</si>
  <si>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</si>
  <si>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</si>
  <si>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</si>
  <si>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</si>
  <si>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</si>
  <si>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</si>
  <si>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</si>
  <si>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</si>
  <si>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</si>
  <si>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</si>
  <si>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</si>
  <si>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</si>
  <si>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</si>
  <si>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</si>
  <si>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</si>
  <si>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</si>
  <si>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</si>
  <si>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</si>
  <si>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</si>
  <si>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</si>
  <si>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</si>
  <si>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</si>
  <si>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</si>
  <si>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</si>
  <si>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</si>
  <si>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</si>
  <si>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</si>
  <si>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</si>
  <si>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</si>
  <si>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</si>
  <si>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</si>
  <si>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</si>
  <si>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</si>
  <si>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</si>
  <si>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</si>
  <si>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</si>
  <si>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</si>
  <si>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</si>
  <si>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</si>
  <si>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</si>
  <si>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</si>
  <si>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</si>
  <si>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</si>
  <si>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</si>
  <si>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</si>
  <si>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</si>
  <si>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</si>
  <si>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</si>
  <si>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</si>
  <si>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</si>
  <si>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</si>
  <si>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</si>
  <si>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</si>
  <si>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</si>
  <si>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</si>
  <si>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</si>
  <si>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</si>
  <si>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</si>
  <si>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</si>
  <si>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</si>
  <si>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</si>
  <si>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</si>
  <si>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</si>
  <si>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</si>
  <si>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</si>
  <si>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</si>
  <si>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</si>
  <si>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</si>
  <si>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</si>
  <si>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</si>
  <si>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</si>
  <si>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</si>
  <si>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</si>
  <si>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</si>
  <si>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</si>
  <si>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</si>
  <si>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</si>
  <si>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</si>
  <si>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</si>
  <si>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</si>
  <si>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</si>
  <si>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</si>
  <si>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</si>
  <si>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</si>
  <si>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</si>
  <si>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</si>
  <si>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</si>
  <si>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</si>
  <si>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</si>
  <si>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</si>
  <si>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</si>
  <si>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</si>
  <si>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</si>
  <si>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</si>
  <si>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</si>
  <si>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</si>
  <si>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</si>
  <si>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</si>
  <si>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</si>
  <si>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</si>
  <si>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</si>
  <si>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</si>
  <si>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</si>
  <si>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</si>
  <si>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</si>
  <si>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</si>
  <si>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</si>
  <si>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</si>
  <si>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</si>
  <si>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</si>
  <si>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</si>
  <si>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</si>
  <si>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</si>
  <si>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</si>
  <si>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</si>
  <si>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</si>
  <si>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</si>
  <si>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</si>
  <si>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</si>
  <si>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</si>
  <si>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</si>
  <si>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</si>
  <si>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</si>
  <si>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</si>
  <si>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</si>
  <si>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</si>
  <si>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</si>
  <si>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</si>
  <si>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</si>
  <si>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</si>
  <si>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</si>
  <si>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</si>
  <si>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</si>
  <si>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</si>
  <si>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</si>
  <si>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</si>
  <si>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</si>
  <si>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</si>
  <si>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</si>
  <si>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</si>
  <si>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</si>
  <si>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</si>
  <si>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</si>
  <si>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</si>
  <si>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</si>
  <si>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</si>
  <si>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</si>
  <si>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</si>
  <si>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</si>
  <si>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</si>
  <si>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</si>
  <si>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</si>
  <si>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</si>
  <si>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</si>
  <si>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</si>
  <si>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</si>
  <si>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</si>
  <si>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</si>
  <si>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</si>
  <si>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</si>
  <si>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</si>
  <si>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</si>
  <si>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</si>
  <si>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</si>
  <si>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</si>
  <si>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</si>
  <si>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</si>
  <si>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</si>
  <si>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</si>
  <si>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</si>
  <si>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</si>
  <si>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</si>
  <si>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</si>
  <si>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</si>
  <si>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</si>
  <si>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</si>
  <si>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</si>
  <si>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</si>
  <si>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</si>
  <si>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</si>
  <si>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</si>
  <si>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</si>
  <si>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</si>
  <si>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</si>
  <si>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</si>
  <si>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</si>
  <si>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</si>
  <si>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</si>
  <si>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</si>
  <si>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</si>
  <si>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</si>
  <si>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</si>
  <si>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</si>
  <si>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</si>
  <si>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</si>
  <si>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</si>
  <si>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</si>
  <si>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</si>
  <si>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</si>
  <si>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</si>
  <si>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</si>
  <si>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</si>
  <si>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</si>
  <si>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</si>
  <si>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</si>
  <si>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</si>
  <si>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</si>
  <si>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</si>
  <si>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</si>
  <si>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</si>
  <si>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</si>
  <si>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</si>
  <si>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</si>
  <si>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</si>
  <si>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</si>
  <si>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</si>
  <si>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</si>
  <si>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</si>
  <si>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</si>
  <si>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</si>
  <si>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</si>
  <si>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</si>
  <si>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</si>
  <si>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</si>
  <si>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</si>
  <si>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</si>
  <si>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</si>
  <si>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</si>
  <si>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</si>
  <si>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</si>
  <si>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</si>
  <si>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</si>
  <si>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</si>
  <si>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</si>
  <si>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</si>
  <si>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</si>
  <si>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</si>
  <si>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</si>
  <si>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</si>
  <si>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</si>
  <si>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</si>
  <si>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</si>
  <si>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</si>
  <si>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</si>
  <si>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</si>
  <si>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</si>
  <si>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</si>
  <si>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</si>
  <si>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</si>
  <si>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</si>
  <si>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</si>
  <si>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</si>
  <si>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</si>
  <si>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</si>
  <si>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</si>
  <si>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</si>
  <si>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</si>
  <si>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</si>
  <si>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</si>
  <si>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</si>
  <si>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</si>
  <si>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</si>
  <si>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</si>
  <si>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</si>
  <si>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</si>
  <si>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</si>
  <si>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</si>
  <si>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</si>
  <si>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</si>
  <si>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</si>
  <si>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</si>
  <si>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</si>
  <si>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</si>
  <si>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</si>
  <si>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</si>
  <si>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</si>
  <si>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</si>
  <si>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</si>
  <si>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</si>
  <si>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</si>
  <si>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</si>
  <si>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</si>
  <si>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</si>
  <si>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</si>
  <si>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</si>
  <si>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</si>
  <si>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</si>
  <si>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</si>
  <si>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</si>
  <si>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</si>
  <si>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</si>
  <si>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</si>
  <si>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</si>
  <si>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</si>
  <si>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</si>
  <si>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</si>
  <si>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</si>
  <si>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</si>
  <si>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</si>
  <si>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</si>
  <si>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</si>
  <si>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</si>
  <si>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</si>
  <si>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</si>
  <si>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</si>
  <si>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</si>
  <si>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</si>
  <si>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</si>
  <si>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</si>
  <si>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</si>
  <si>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</si>
  <si>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</si>
  <si>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</si>
  <si>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</si>
  <si>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</si>
  <si>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</si>
  <si>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</si>
  <si>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</si>
  <si>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</si>
  <si>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</si>
  <si>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</si>
  <si>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</si>
  <si>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</si>
  <si>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</si>
  <si>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</si>
  <si>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</si>
  <si>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</si>
  <si>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</si>
  <si>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</si>
  <si>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</si>
  <si>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</si>
  <si>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</si>
  <si>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</si>
  <si>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</si>
  <si>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</si>
  <si>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</si>
  <si>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</si>
  <si>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</si>
  <si>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</si>
  <si>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</si>
  <si>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</si>
  <si>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</si>
  <si>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</si>
  <si>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</si>
  <si>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</si>
  <si>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</si>
  <si>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</si>
  <si>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</si>
  <si>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</si>
  <si>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</si>
  <si>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</si>
  <si>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</si>
  <si>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</si>
  <si>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</si>
  <si>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</si>
  <si>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</si>
  <si>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</si>
  <si>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</si>
  <si>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</si>
  <si>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</si>
  <si>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</si>
  <si>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</si>
  <si>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</si>
  <si>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</si>
  <si>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</si>
  <si>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</si>
  <si>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</si>
  <si>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</si>
  <si>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</si>
  <si>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</si>
  <si>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</si>
  <si>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</si>
  <si>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</si>
  <si>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</si>
  <si>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</si>
  <si>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</si>
  <si>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</si>
  <si>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</si>
  <si>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</si>
  <si>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</si>
  <si>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</si>
  <si>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</si>
  <si>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</si>
  <si>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</si>
  <si>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</si>
  <si>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</si>
  <si>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</si>
  <si>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</si>
  <si>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</si>
  <si>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</si>
  <si>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</si>
  <si>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</si>
  <si>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</si>
  <si>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</si>
  <si>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</si>
  <si>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</si>
  <si>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</si>
  <si>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</si>
  <si>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</si>
  <si>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</si>
  <si>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</si>
  <si>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</si>
  <si>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</si>
  <si>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</si>
  <si>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</si>
  <si>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</si>
  <si>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</si>
  <si>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</si>
  <si>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</si>
  <si>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</si>
  <si>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</si>
  <si>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</si>
  <si>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</si>
  <si>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</si>
  <si>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</si>
  <si>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</si>
  <si>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</si>
  <si>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</si>
  <si>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</si>
  <si>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</si>
  <si>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</si>
  <si>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</si>
  <si>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</si>
  <si>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</si>
  <si>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</si>
  <si>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</si>
  <si>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</si>
  <si>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</si>
  <si>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</si>
  <si>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</si>
  <si>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</si>
  <si>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</si>
  <si>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</si>
  <si>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</si>
  <si>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</si>
  <si>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</si>
  <si>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</si>
  <si>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</si>
  <si>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</si>
  <si>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</si>
  <si>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</si>
  <si>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</si>
  <si>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</si>
  <si>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</si>
  <si>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</si>
  <si>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</si>
  <si>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</si>
  <si>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</si>
  <si>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</si>
  <si>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</si>
  <si>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</si>
  <si>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</si>
  <si>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</si>
  <si>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</si>
  <si>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</si>
  <si>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</si>
  <si>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</si>
  <si>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</si>
  <si>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</si>
  <si>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</si>
  <si>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</si>
  <si>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</si>
  <si>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</si>
  <si>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</si>
  <si>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</si>
  <si>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</si>
  <si>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</si>
  <si>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</si>
  <si>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</si>
  <si>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</si>
  <si>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</si>
  <si>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</si>
  <si>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</si>
  <si>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</si>
  <si>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</si>
  <si>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</si>
  <si>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</si>
  <si>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</si>
  <si>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</si>
  <si>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</si>
  <si>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</si>
  <si>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</si>
  <si>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</si>
  <si>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</si>
  <si>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</si>
  <si>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</si>
  <si>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</si>
  <si>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</si>
  <si>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</si>
  <si>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</si>
  <si>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</si>
  <si>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</si>
  <si>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</si>
  <si>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</si>
  <si>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</si>
  <si>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</si>
  <si>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</si>
  <si>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</si>
  <si>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</si>
  <si>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</si>
  <si>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</si>
  <si>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</si>
  <si>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</si>
  <si>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</si>
  <si>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</si>
  <si>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</si>
  <si>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</si>
  <si>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</si>
  <si>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</si>
  <si>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</si>
  <si>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</si>
  <si>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</si>
  <si>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</si>
  <si>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</si>
  <si>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</si>
  <si>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</si>
  <si>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</si>
  <si>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</si>
  <si>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</si>
  <si>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</si>
  <si>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</si>
  <si>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</si>
  <si>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</si>
  <si>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</si>
  <si>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</si>
  <si>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</si>
  <si>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</si>
  <si>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</si>
  <si>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</si>
  <si>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</si>
  <si>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</si>
  <si>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</si>
  <si>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</si>
  <si>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</si>
  <si>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</si>
  <si>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</si>
  <si>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</si>
  <si>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</si>
  <si>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</si>
  <si>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</si>
  <si>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</si>
  <si>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</si>
  <si>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</si>
  <si>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</si>
  <si>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</si>
  <si>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</si>
  <si>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</si>
  <si>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</si>
  <si>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</si>
  <si>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</si>
  <si>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</si>
  <si>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</si>
  <si>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</si>
  <si>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</si>
  <si>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</si>
  <si>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</si>
  <si>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</si>
  <si>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</si>
  <si>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</si>
  <si>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</si>
  <si>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</si>
  <si>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</si>
  <si>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</si>
  <si>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</si>
  <si>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</si>
  <si>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</si>
  <si>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</si>
  <si>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</si>
  <si>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</si>
  <si>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</si>
  <si>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</si>
  <si>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</si>
  <si>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</si>
  <si>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</si>
  <si>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</si>
  <si>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</si>
  <si>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</si>
  <si>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</si>
  <si>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</si>
  <si>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</si>
  <si>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</si>
  <si>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</si>
  <si>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</si>
  <si>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</si>
  <si>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</si>
  <si>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</si>
  <si>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</si>
  <si>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</si>
  <si>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</si>
  <si>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</si>
  <si>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</si>
  <si>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</si>
  <si>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</si>
  <si>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</si>
  <si>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</si>
  <si>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</si>
  <si>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</si>
  <si>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</si>
  <si>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</si>
  <si>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</si>
  <si>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</si>
  <si>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</si>
  <si>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</si>
  <si>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</si>
  <si>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</si>
  <si>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</si>
  <si>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</si>
  <si>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</si>
  <si>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</si>
  <si>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</si>
  <si>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</si>
  <si>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</si>
  <si>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</si>
  <si>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</si>
  <si>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</si>
  <si>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</si>
  <si>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</si>
  <si>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</si>
  <si>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</si>
  <si>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</si>
  <si>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</si>
  <si>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</si>
  <si>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</si>
  <si>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</si>
  <si>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</si>
  <si>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</si>
  <si>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</si>
  <si>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</si>
  <si>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</si>
  <si>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</si>
  <si>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</si>
  <si>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</si>
  <si>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</si>
  <si>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</si>
  <si>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</si>
  <si>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</si>
  <si>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</si>
  <si>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</si>
  <si>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</si>
  <si>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</si>
  <si>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</si>
  <si>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</si>
  <si>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</si>
  <si>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</si>
  <si>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</si>
  <si>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</si>
  <si>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</si>
  <si>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</si>
  <si>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</si>
  <si>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</si>
  <si>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</si>
  <si>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</si>
  <si>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</si>
  <si>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</si>
  <si>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</si>
  <si>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</si>
  <si>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</si>
  <si>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</si>
  <si>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</si>
  <si>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</si>
  <si>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</si>
  <si>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</si>
  <si>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</si>
  <si>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</si>
  <si>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</si>
  <si>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</si>
  <si>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</si>
  <si>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</si>
  <si>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</si>
  <si>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</si>
  <si>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</si>
  <si>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</si>
  <si>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</si>
  <si>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</si>
  <si>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</si>
  <si>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</si>
  <si>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</si>
  <si>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</si>
  <si>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</si>
  <si>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</si>
  <si>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</si>
  <si>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</si>
  <si>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</si>
  <si>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</si>
  <si>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</si>
  <si>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</si>
  <si>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</si>
  <si>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</si>
  <si>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</si>
  <si>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</si>
  <si>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</si>
  <si>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</si>
  <si>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</si>
  <si>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</si>
  <si>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</si>
  <si>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</si>
  <si>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</si>
  <si>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</si>
  <si>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</si>
  <si>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</si>
  <si>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</si>
  <si>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</si>
  <si>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</si>
  <si>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</si>
  <si>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</si>
  <si>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</si>
  <si>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</si>
  <si>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</si>
  <si>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</si>
  <si>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</si>
  <si>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</si>
  <si>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</si>
  <si>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</si>
  <si>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</si>
  <si>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</si>
  <si>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</si>
  <si>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</si>
  <si>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</si>
  <si>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</si>
  <si>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</si>
  <si>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</si>
  <si>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</si>
  <si>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</si>
  <si>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</si>
  <si>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</si>
  <si>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</si>
  <si>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</si>
  <si>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</si>
  <si>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</si>
  <si>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</si>
  <si>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</si>
  <si>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</si>
  <si>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</si>
  <si>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</si>
  <si>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</si>
  <si>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</si>
  <si>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</si>
  <si>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</si>
  <si>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</si>
  <si>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</si>
  <si>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</si>
  <si>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</si>
  <si>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</si>
  <si>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</si>
  <si>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</si>
  <si>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</si>
  <si>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</si>
  <si>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</si>
  <si>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</si>
  <si>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</si>
  <si>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</si>
  <si>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</si>
  <si>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</si>
  <si>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</si>
  <si>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</si>
  <si>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</si>
  <si>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</si>
  <si>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</si>
  <si>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</si>
  <si>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</si>
  <si>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</si>
  <si>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</si>
  <si>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</si>
  <si>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</si>
  <si>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</si>
  <si>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</si>
  <si>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</si>
  <si>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</si>
  <si>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</si>
  <si>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</si>
  <si>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</si>
  <si>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</si>
  <si>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</si>
  <si>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</si>
  <si>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</si>
  <si>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</si>
  <si>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</si>
  <si>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</si>
  <si>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</si>
  <si>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</si>
  <si>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</si>
  <si>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</si>
  <si>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</si>
  <si>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</si>
  <si>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</si>
  <si>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</si>
  <si>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</si>
  <si>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</si>
  <si>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</si>
  <si>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</si>
  <si>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</si>
  <si>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</si>
  <si>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</si>
  <si>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</si>
  <si>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</si>
  <si>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</si>
  <si>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</si>
  <si>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</si>
  <si>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</si>
  <si>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</si>
  <si>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</si>
  <si>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</si>
  <si>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</si>
  <si>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</si>
  <si>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</si>
  <si>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</si>
  <si>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</si>
  <si>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</si>
  <si>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</si>
  <si>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</si>
  <si>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</si>
  <si>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</si>
  <si>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</si>
  <si>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</si>
  <si>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</si>
  <si>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</si>
  <si>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</si>
  <si>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</si>
  <si>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</si>
  <si>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</si>
  <si>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</si>
  <si>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</si>
  <si>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</si>
  <si>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</si>
  <si>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</si>
  <si>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</si>
  <si>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</si>
  <si>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</si>
  <si>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</si>
  <si>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</si>
  <si>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</si>
  <si>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</si>
  <si>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</si>
  <si>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</si>
  <si>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</si>
  <si>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</si>
  <si>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</si>
  <si>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</si>
  <si>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</si>
  <si>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</si>
  <si>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</si>
  <si>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</si>
  <si>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</si>
  <si>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</si>
  <si>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</si>
  <si>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</si>
  <si>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</si>
  <si>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</si>
  <si>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</si>
  <si>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</si>
  <si>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</si>
  <si>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</si>
  <si>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</si>
  <si>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</si>
  <si>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</si>
  <si>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</si>
  <si>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</si>
  <si>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</si>
  <si>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</si>
  <si>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</si>
  <si>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</si>
  <si>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</si>
  <si>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</si>
  <si>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</si>
  <si>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</si>
  <si>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</si>
  <si>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JAEN</t>
  </si>
  <si>
    <t>Resumenes por Partidos Judiciales</t>
  </si>
  <si>
    <t>ALCALA LA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</si>
</sst>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PXy14tJredNnwBw7ZDQljyqqhoSP6ct+73ArkvC2o22ys9TR2Jnu1MbeKzM2c/lrXY2BMsvoYjV0ViW0foTwQ==" saltValue="StRextoVtRx2T0Z+03o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51</v>
      </c>
      <c r="D10" s="225">
        <f>IF(ISNUMBER(Datos!I10),Datos!I10," - ")</f>
        <v>51</v>
      </c>
      <c r="E10" s="226">
        <f>IF(ISNUMBER(Datos!J10),Datos!J10," - ")</f>
        <v>2</v>
      </c>
      <c r="F10" s="226">
        <f>IF(ISNUMBER(Datos!K10),Datos!K10," - ")</f>
        <v>3</v>
      </c>
      <c r="G10" s="1034" t="str">
        <f>IF(Datos!E10&lt;&gt;"",Datos!E10,Datos!D10)</f>
        <v>37</v>
      </c>
      <c r="H10" s="227">
        <f>IF(ISNUMBER(Datos!L10),Datos!L10," - ")</f>
        <v>50</v>
      </c>
      <c r="I10" s="1044" t="str">
        <f>IF(ISNUMBER(Datos!AS10/Datos!BM10),Datos!AS10/Datos!BM10," - ")</f>
        <v xml:space="preserve"> - </v>
      </c>
      <c r="J10" s="1045">
        <f>IF(ISNUMBER(Datos!BY10/Datos!CN10),Datos!BY10/Datos!CN10," - ")</f>
        <v>0</v>
      </c>
      <c r="K10" s="230">
        <f t="shared" ref="K10:K12" si="1">IF(ISNUMBER((E10-F10)/C10),(E10-F10)/C10," - ")</f>
        <v>-1.9607843137254902E-2</v>
      </c>
      <c r="L10" s="1025">
        <f>IF(ISNUMBER(NºAsuntos!I10/NºAsuntos!G10),(NºAsuntos!I10/NºAsuntos!G10)*11," - ")</f>
        <v>183.33333333333334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58.072072072072075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51</v>
      </c>
      <c r="D13" s="1049">
        <f>SUBTOTAL(9,D9:D12)</f>
        <v>51</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665</v>
      </c>
      <c r="D16" s="225">
        <f>IF(ISNUMBER(IF(D_I="SI",Datos!I16,Datos!I16+Datos!AC16)),IF(D_I="SI",Datos!I16,Datos!I16+Datos!AC16)," - ")</f>
        <v>665</v>
      </c>
      <c r="E16" s="226">
        <f>IF(ISNUMBER(IF(D_I="SI",Datos!J16,Datos!J16+Datos!AD16)),IF(D_I="SI",Datos!J16,Datos!J16+Datos!AD16)," - ")</f>
        <v>544</v>
      </c>
      <c r="F16" s="226">
        <f>IF(ISNUMBER(IF(D_I="SI",Datos!K16,Datos!K16+Datos!AE16)),IF(D_I="SI",Datos!K16,Datos!K16+Datos!AE16)," - ")</f>
        <v>597</v>
      </c>
      <c r="G16" s="1034" t="str">
        <f>IF(Datos!E16&lt;&gt;"",Datos!E16,Datos!D16)</f>
        <v>04</v>
      </c>
      <c r="H16" s="227">
        <f>IF(ISNUMBER(IF(D_I="SI",Datos!L16,Datos!L16+Datos!AF16)),IF(D_I="SI",Datos!L16,Datos!L16+Datos!AF16)," - ")</f>
        <v>612</v>
      </c>
      <c r="I16" s="1044" t="str">
        <f>IF(ISNUMBER(Datos!AS16/Datos!BM16),Datos!AS16/Datos!BM16," - ")</f>
        <v xml:space="preserve"> - </v>
      </c>
      <c r="J16" s="1045">
        <f>IF(ISNUMBER(Datos!BY16/Datos!CN16),Datos!BY16/Datos!CN16," - ")</f>
        <v>0</v>
      </c>
      <c r="K16" s="230">
        <f t="shared" si="3"/>
        <v>-7.9699248120300756E-2</v>
      </c>
      <c r="L16" s="1025">
        <f>IF(ISNUMBER(NºAsuntos!I16/NºAsuntos!G16),(NºAsuntos!I16/NºAsuntos!G16)*11," - ")</f>
        <v>11.276381909547739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v>
      </c>
      <c r="D17" s="225">
        <f>IF(ISNUMBER(IF(D_I="SI",Datos!I17,Datos!I17+Datos!AC17)),IF(D_I="SI",Datos!I17,Datos!I17+Datos!AC17)," - ")</f>
        <v>45</v>
      </c>
      <c r="E17" s="226">
        <f>IF(ISNUMBER(IF(D_I="SI",Datos!J17,Datos!J17+Datos!AD17)),IF(D_I="SI",Datos!J17,Datos!J17+Datos!AD17)," - ")</f>
        <v>4</v>
      </c>
      <c r="F17" s="226">
        <f>IF(ISNUMBER(IF(D_I="SI",Datos!K17,Datos!K17+Datos!AE17)),IF(D_I="SI",Datos!K17,Datos!K17+Datos!AE17)," - ")</f>
        <v>40</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-0.8</v>
      </c>
      <c r="L17" s="1025">
        <f>IF(ISNUMBER(NºAsuntos!I17/NºAsuntos!G17),(NºAsuntos!I17/NºAsuntos!G17)*11," - ")</f>
        <v>2.4750000000000001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710</v>
      </c>
      <c r="D18" s="1049">
        <f>SUBTOTAL(9,D15:D17)</f>
        <v>710</v>
      </c>
      <c r="E18" s="1050">
        <f>SUBTOTAL(9,E15:E17)</f>
        <v>548</v>
      </c>
      <c r="F18" s="1050">
        <f>SUBTOTAL(9,F15:F17)</f>
        <v>637</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761</v>
      </c>
      <c r="D19" s="1071">
        <f>SUBTOTAL(9,D9:D18)</f>
        <v>761</v>
      </c>
      <c r="E19" s="1072">
        <f>SUBTOTAL(9,E9:E18)</f>
        <v>550</v>
      </c>
      <c r="F19" s="1072">
        <f>SUBTOTAL(9,F9:F18)</f>
        <v>640</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J5bgPfjB4MDrlN8XlZHIFDWtwH+ZfSnhatJ7Le4tkPe2/+yM06ajznYMhqPJKEe7VFgecOec9yv/sbgR8TjOVw==" saltValue="7NjgpajqAYqz1+pC6lIZx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LBRYdEshy8Na9Zw4qzmi0mLEBHEYyCTUOllTtqkY17aXRNNP2XOsqXLeY05b21lHN2skzPuc9LGmHJwZXWbWQ==" saltValue="FtgClFP+D/c1fpcKFtw0c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51</v>
      </c>
      <c r="J10" s="181">
        <v>2</v>
      </c>
      <c r="K10" s="181">
        <v>3</v>
      </c>
      <c r="L10" s="181">
        <v>50</v>
      </c>
      <c r="M10" s="181">
        <v>1</v>
      </c>
      <c r="N10" s="181">
        <v>0</v>
      </c>
      <c r="O10" s="181">
        <v>1</v>
      </c>
      <c r="P10" s="181">
        <v>0</v>
      </c>
      <c r="Q10" s="181">
        <v>2</v>
      </c>
      <c r="R10" s="181">
        <v>7</v>
      </c>
      <c r="S10" s="181">
        <v>35</v>
      </c>
      <c r="T10" s="181">
        <v>9</v>
      </c>
      <c r="U10" s="181">
        <v>0</v>
      </c>
      <c r="V10" s="181">
        <v>44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35</v>
      </c>
      <c r="AZ10" s="129">
        <f t="shared" si="0"/>
        <v>9</v>
      </c>
      <c r="BA10" s="129">
        <f t="shared" si="0"/>
        <v>0</v>
      </c>
      <c r="BB10" s="129">
        <f t="shared" si="0"/>
        <v>44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764</v>
      </c>
      <c r="J12" s="183">
        <v>518</v>
      </c>
      <c r="K12" s="183">
        <v>191</v>
      </c>
      <c r="L12" s="183">
        <v>1091</v>
      </c>
      <c r="M12" s="183">
        <v>69</v>
      </c>
      <c r="N12" s="183">
        <v>81</v>
      </c>
      <c r="O12" s="181">
        <v>88</v>
      </c>
      <c r="P12" s="183">
        <v>53</v>
      </c>
      <c r="Q12" s="183">
        <v>19</v>
      </c>
      <c r="R12" s="183">
        <v>1227</v>
      </c>
      <c r="S12" s="183">
        <v>759</v>
      </c>
      <c r="T12" s="183">
        <v>257</v>
      </c>
      <c r="U12" s="183">
        <v>290</v>
      </c>
      <c r="V12" s="183">
        <v>726</v>
      </c>
      <c r="W12" s="183">
        <v>95</v>
      </c>
      <c r="X12" s="189">
        <v>98</v>
      </c>
      <c r="Y12" s="191">
        <v>75</v>
      </c>
      <c r="Z12" s="181">
        <v>37</v>
      </c>
      <c r="AA12" s="181">
        <v>31</v>
      </c>
      <c r="AB12" s="181">
        <v>81</v>
      </c>
      <c r="AC12" s="183">
        <v>0</v>
      </c>
      <c r="AD12" s="183">
        <v>0</v>
      </c>
      <c r="AE12" s="183">
        <v>0</v>
      </c>
      <c r="AF12" s="189">
        <v>0</v>
      </c>
      <c r="AG12" s="202">
        <v>81</v>
      </c>
      <c r="AH12" s="183">
        <v>16</v>
      </c>
      <c r="AI12" s="183">
        <v>72</v>
      </c>
      <c r="AJ12" s="203">
        <v>25</v>
      </c>
      <c r="AK12" s="182">
        <v>0</v>
      </c>
      <c r="AL12" s="183">
        <v>0</v>
      </c>
      <c r="AM12" s="183">
        <v>0</v>
      </c>
      <c r="AN12" s="189">
        <v>0</v>
      </c>
      <c r="AO12" s="259">
        <v>2</v>
      </c>
      <c r="AP12" s="155">
        <v>2</v>
      </c>
      <c r="AQ12" s="155">
        <v>2</v>
      </c>
      <c r="AR12" s="154">
        <v>2</v>
      </c>
      <c r="AS12" s="340" t="s">
        <v>801</v>
      </c>
      <c r="AT12" s="203"/>
      <c r="AU12" s="202"/>
      <c r="AV12" s="203"/>
      <c r="AW12" s="202"/>
      <c r="AX12" s="203"/>
      <c r="AY12" s="126">
        <f t="shared" si="1"/>
        <v>840</v>
      </c>
      <c r="AZ12" s="127">
        <f t="shared" si="1"/>
        <v>273</v>
      </c>
      <c r="BA12" s="127">
        <f t="shared" si="1"/>
        <v>362</v>
      </c>
      <c r="BB12" s="127">
        <f t="shared" si="1"/>
        <v>751</v>
      </c>
      <c r="BC12" s="125">
        <f>IF(ISNUMBER(X12),X12," - ")</f>
        <v>98</v>
      </c>
      <c r="BD12" s="126">
        <f t="shared" si="2"/>
        <v>1.326007326007326</v>
      </c>
      <c r="BE12" s="127">
        <f t="shared" si="3"/>
        <v>2.0745856353591159</v>
      </c>
      <c r="BF12" s="127">
        <f t="shared" si="4"/>
        <v>0.27071823204419887</v>
      </c>
      <c r="BG12" s="196">
        <f t="shared" si="5"/>
        <v>3.0745856353591159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815</v>
      </c>
      <c r="J13" s="184">
        <f t="shared" si="6"/>
        <v>520</v>
      </c>
      <c r="K13" s="184">
        <f t="shared" si="6"/>
        <v>194</v>
      </c>
      <c r="L13" s="184">
        <f t="shared" si="6"/>
        <v>1141</v>
      </c>
      <c r="M13" s="184">
        <f t="shared" si="6"/>
        <v>70</v>
      </c>
      <c r="N13" s="184">
        <f t="shared" si="6"/>
        <v>81</v>
      </c>
      <c r="O13" s="184">
        <f t="shared" si="6"/>
        <v>89</v>
      </c>
      <c r="P13" s="184">
        <f t="shared" si="6"/>
        <v>53</v>
      </c>
      <c r="Q13" s="184">
        <f t="shared" si="6"/>
        <v>21</v>
      </c>
      <c r="R13" s="184">
        <f t="shared" si="6"/>
        <v>1234</v>
      </c>
      <c r="S13" s="184">
        <f t="shared" si="6"/>
        <v>794</v>
      </c>
      <c r="T13" s="184">
        <f t="shared" si="6"/>
        <v>266</v>
      </c>
      <c r="U13" s="184">
        <f t="shared" si="6"/>
        <v>290</v>
      </c>
      <c r="V13" s="184">
        <f t="shared" si="6"/>
        <v>770</v>
      </c>
      <c r="W13" s="184">
        <f t="shared" si="6"/>
        <v>95</v>
      </c>
      <c r="X13" s="184">
        <f t="shared" si="6"/>
        <v>98</v>
      </c>
      <c r="Y13" s="184">
        <f t="shared" si="6"/>
        <v>75</v>
      </c>
      <c r="Z13" s="184">
        <f t="shared" si="6"/>
        <v>37</v>
      </c>
      <c r="AA13" s="184">
        <f t="shared" si="6"/>
        <v>31</v>
      </c>
      <c r="AB13" s="184">
        <f t="shared" si="6"/>
        <v>81</v>
      </c>
      <c r="AC13" s="184">
        <f t="shared" si="6"/>
        <v>0</v>
      </c>
      <c r="AD13" s="184">
        <f t="shared" si="6"/>
        <v>0</v>
      </c>
      <c r="AE13" s="184">
        <f t="shared" si="6"/>
        <v>0</v>
      </c>
      <c r="AF13" s="184">
        <f>SUBTOTAL(9,AF9:AF12)</f>
        <v>0</v>
      </c>
      <c r="AG13" s="184">
        <f t="shared" ref="AG13:AT13" si="7">SUBTOTAL(9,AG8:AG12)</f>
        <v>81</v>
      </c>
      <c r="AH13" s="184">
        <f t="shared" si="7"/>
        <v>16</v>
      </c>
      <c r="AI13" s="184">
        <f t="shared" si="7"/>
        <v>72</v>
      </c>
      <c r="AJ13" s="184">
        <f t="shared" si="7"/>
        <v>25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875</v>
      </c>
      <c r="AZ13" s="184">
        <f>SUBTOTAL(9,AZ8:AZ12)</f>
        <v>282</v>
      </c>
      <c r="BA13" s="184">
        <f>SUBTOTAL(9,BA8:BA12)</f>
        <v>362</v>
      </c>
      <c r="BB13" s="184">
        <f>SUBTOTAL(9,BB8:BB12)</f>
        <v>795</v>
      </c>
      <c r="BC13" s="184">
        <f>SUBTOTAL(9,BC8:BC12)</f>
        <v>98</v>
      </c>
      <c r="BD13" s="205">
        <f>IF(ISNUMBER(BA13/AZ13),BA13/AZ13," - ")</f>
        <v>1.2836879432624113</v>
      </c>
      <c r="BE13" s="206">
        <f>IF(ISNUMBER(BB13/BA13),BB13/BA13, " - ")</f>
        <v>2.1961325966850831</v>
      </c>
      <c r="BF13" s="206">
        <f>IF(ISNUMBER(BC13/BA13),BC13/BA13, " - ")</f>
        <v>0.27071823204419887</v>
      </c>
      <c r="BG13" s="207">
        <f>IF(ISNUMBER((AY13+AZ13)/BA13),(AY13+AZ13)/BA13," - ")</f>
        <v>3.1961325966850831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665</v>
      </c>
      <c r="J16" s="183">
        <v>544</v>
      </c>
      <c r="K16" s="183">
        <v>597</v>
      </c>
      <c r="L16" s="183">
        <v>612</v>
      </c>
      <c r="M16" s="183">
        <v>56</v>
      </c>
      <c r="N16" s="183">
        <v>487</v>
      </c>
      <c r="O16" s="181">
        <v>1</v>
      </c>
      <c r="P16" s="183">
        <v>12</v>
      </c>
      <c r="Q16" s="183">
        <v>8</v>
      </c>
      <c r="R16" s="183">
        <v>100</v>
      </c>
      <c r="S16" s="183">
        <v>857</v>
      </c>
      <c r="T16" s="183">
        <v>477</v>
      </c>
      <c r="U16" s="183">
        <v>501</v>
      </c>
      <c r="V16" s="183">
        <v>833</v>
      </c>
      <c r="W16" s="183">
        <v>73</v>
      </c>
      <c r="X16" s="189">
        <v>354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857</v>
      </c>
      <c r="AZ16" s="127">
        <f t="shared" si="9"/>
        <v>477</v>
      </c>
      <c r="BA16" s="127">
        <f t="shared" si="9"/>
        <v>501</v>
      </c>
      <c r="BB16" s="127">
        <f t="shared" si="9"/>
        <v>833</v>
      </c>
      <c r="BC16" s="125">
        <f>IF(ISNUMBER(W16),W16," - ")</f>
        <v>73</v>
      </c>
      <c r="BD16" s="126">
        <f t="shared" ref="BD16" si="11">IF(ISNUMBER(BA16/AZ16),BA16/AZ16," - ")</f>
        <v>1.050314465408805</v>
      </c>
      <c r="BE16" s="127">
        <f t="shared" ref="BE16" si="12">IF(ISNUMBER(BB16/BA16),BB16/BA16, " - ")</f>
        <v>1.6626746506986028</v>
      </c>
      <c r="BF16" s="127">
        <f t="shared" ref="BF16" si="13">IF(ISNUMBER(BC16/BA16),BC16/BA16, " - ")</f>
        <v>0.14570858283433133</v>
      </c>
      <c r="BG16" s="196">
        <f t="shared" si="10"/>
        <v>2.662674650698603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v>
      </c>
      <c r="J17" s="183">
        <v>4</v>
      </c>
      <c r="K17" s="183">
        <v>40</v>
      </c>
      <c r="L17" s="183">
        <v>9</v>
      </c>
      <c r="M17" s="183">
        <v>1</v>
      </c>
      <c r="N17" s="183">
        <v>39</v>
      </c>
      <c r="O17" s="183">
        <v>1</v>
      </c>
      <c r="P17" s="183">
        <v>0</v>
      </c>
      <c r="Q17" s="183">
        <v>0</v>
      </c>
      <c r="R17" s="183">
        <v>0</v>
      </c>
      <c r="S17" s="183">
        <v>56</v>
      </c>
      <c r="T17" s="183">
        <v>29</v>
      </c>
      <c r="U17" s="183">
        <v>29</v>
      </c>
      <c r="V17" s="183">
        <v>56</v>
      </c>
      <c r="W17" s="183">
        <v>19</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56</v>
      </c>
      <c r="AZ17" s="129">
        <f t="shared" si="14"/>
        <v>29</v>
      </c>
      <c r="BA17" s="129">
        <f t="shared" si="14"/>
        <v>29</v>
      </c>
      <c r="BB17" s="129">
        <f t="shared" si="14"/>
        <v>56</v>
      </c>
      <c r="BC17" s="125">
        <f>IF(ISNUMBER(W17),W17," - ")</f>
        <v>19</v>
      </c>
      <c r="BD17" s="126">
        <f>IF(ISNUMBER(BA17/AZ17),BA17/AZ17," - ")</f>
        <v>1</v>
      </c>
      <c r="BE17" s="127">
        <f>IF(ISNUMBER(BB17/BA17),BB17/BA17, " - ")</f>
        <v>1.9310344827586208</v>
      </c>
      <c r="BF17" s="127">
        <f>IF(ISNUMBER(BC17/BA17),BC17/BA17, " - ")</f>
        <v>0.65517241379310343</v>
      </c>
      <c r="BG17" s="196">
        <f>IF(ISNUMBER((AY17+AZ17)/BA17),(AY17+AZ17)/BA17," - ")</f>
        <v>2.9310344827586206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710</v>
      </c>
      <c r="J18" s="184">
        <f t="shared" si="15"/>
        <v>548</v>
      </c>
      <c r="K18" s="184">
        <f t="shared" si="15"/>
        <v>637</v>
      </c>
      <c r="L18" s="184">
        <f t="shared" si="15"/>
        <v>621</v>
      </c>
      <c r="M18" s="184">
        <f t="shared" si="15"/>
        <v>57</v>
      </c>
      <c r="N18" s="184">
        <f t="shared" si="15"/>
        <v>526</v>
      </c>
      <c r="O18" s="184">
        <f t="shared" si="15"/>
        <v>2</v>
      </c>
      <c r="P18" s="184">
        <f t="shared" si="15"/>
        <v>12</v>
      </c>
      <c r="Q18" s="184">
        <f t="shared" si="15"/>
        <v>8</v>
      </c>
      <c r="R18" s="184">
        <f t="shared" si="15"/>
        <v>100</v>
      </c>
      <c r="S18" s="184">
        <f t="shared" si="15"/>
        <v>913</v>
      </c>
      <c r="T18" s="184">
        <f t="shared" si="15"/>
        <v>506</v>
      </c>
      <c r="U18" s="184">
        <f t="shared" si="15"/>
        <v>530</v>
      </c>
      <c r="V18" s="184">
        <f t="shared" si="15"/>
        <v>889</v>
      </c>
      <c r="W18" s="184">
        <f t="shared" si="15"/>
        <v>92</v>
      </c>
      <c r="X18" s="184">
        <f t="shared" si="15"/>
        <v>366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913</v>
      </c>
      <c r="AZ18" s="184">
        <f>SUBTOTAL(9,AZ14:AZ17)</f>
        <v>506</v>
      </c>
      <c r="BA18" s="184">
        <f>SUBTOTAL(9,BA14:BA17)</f>
        <v>530</v>
      </c>
      <c r="BB18" s="184">
        <f>SUBTOTAL(9,BB14:BB17)</f>
        <v>889</v>
      </c>
      <c r="BC18" s="184">
        <f>SUBTOTAL(9,BC14:BC17)</f>
        <v>92</v>
      </c>
      <c r="BD18" s="205">
        <f>IF(ISNUMBER(BA18/AZ18),BA18/AZ18," - ")</f>
        <v>1.0474308300395256</v>
      </c>
      <c r="BE18" s="206">
        <f>IF(ISNUMBER(BB18/BA18),BB18/BA18, " - ")</f>
        <v>1.6773584905660377</v>
      </c>
      <c r="BF18" s="206">
        <f>IF(ISNUMBER(BC18/BA18),BC18/BA18, " - ")</f>
        <v>0.17358490566037735</v>
      </c>
      <c r="BG18" s="207">
        <f>IF(ISNUMBER((AY18+AZ18)/BA18),(AY18+AZ18)/BA18," - ")</f>
        <v>2.6773584905660379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1525</v>
      </c>
      <c r="J19" s="134">
        <f t="shared" si="18"/>
        <v>1068</v>
      </c>
      <c r="K19" s="134">
        <f t="shared" si="18"/>
        <v>831</v>
      </c>
      <c r="L19" s="134">
        <f t="shared" si="18"/>
        <v>1762</v>
      </c>
      <c r="M19" s="134">
        <f t="shared" si="18"/>
        <v>127</v>
      </c>
      <c r="N19" s="134">
        <f t="shared" si="18"/>
        <v>607</v>
      </c>
      <c r="O19" s="134">
        <f t="shared" si="18"/>
        <v>91</v>
      </c>
      <c r="P19" s="134">
        <f t="shared" si="18"/>
        <v>65</v>
      </c>
      <c r="Q19" s="134">
        <f t="shared" si="18"/>
        <v>29</v>
      </c>
      <c r="R19" s="134">
        <f t="shared" si="18"/>
        <v>1334</v>
      </c>
      <c r="S19" s="134">
        <f t="shared" si="18"/>
        <v>1707</v>
      </c>
      <c r="T19" s="134">
        <f t="shared" si="18"/>
        <v>772</v>
      </c>
      <c r="U19" s="134">
        <f t="shared" si="18"/>
        <v>820</v>
      </c>
      <c r="V19" s="134">
        <f t="shared" si="18"/>
        <v>1659</v>
      </c>
      <c r="W19" s="134">
        <f t="shared" si="18"/>
        <v>187</v>
      </c>
      <c r="X19" s="134">
        <f t="shared" si="18"/>
        <v>464</v>
      </c>
      <c r="Y19" s="134">
        <f t="shared" si="18"/>
        <v>75</v>
      </c>
      <c r="Z19" s="134">
        <f t="shared" si="18"/>
        <v>37</v>
      </c>
      <c r="AA19" s="134">
        <f t="shared" si="18"/>
        <v>31</v>
      </c>
      <c r="AB19" s="134">
        <f t="shared" si="18"/>
        <v>81</v>
      </c>
      <c r="AC19" s="134">
        <f t="shared" si="18"/>
        <v>0</v>
      </c>
      <c r="AD19" s="134">
        <f t="shared" si="18"/>
        <v>0</v>
      </c>
      <c r="AE19" s="134">
        <f t="shared" si="18"/>
        <v>0</v>
      </c>
      <c r="AF19" s="134">
        <f t="shared" si="18"/>
        <v>0</v>
      </c>
      <c r="AG19" s="134">
        <f t="shared" si="18"/>
        <v>81</v>
      </c>
      <c r="AH19" s="134">
        <f t="shared" si="18"/>
        <v>16</v>
      </c>
      <c r="AI19" s="134">
        <f t="shared" si="18"/>
        <v>72</v>
      </c>
      <c r="AJ19" s="134">
        <f t="shared" si="18"/>
        <v>25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1788</v>
      </c>
      <c r="AZ19" s="134">
        <f>SUBTOTAL(9,AZ9:AZ18)</f>
        <v>788</v>
      </c>
      <c r="BA19" s="134">
        <f>SUBTOTAL(9,BA9:BA18)</f>
        <v>892</v>
      </c>
      <c r="BB19" s="134">
        <f>SUBTOTAL(9,BB9:BB18)</f>
        <v>1684</v>
      </c>
      <c r="BC19" s="135">
        <f>SUBTOTAL(9,BC9:BC18)</f>
        <v>190</v>
      </c>
      <c r="BD19" s="213">
        <f>IF(ISNUMBER(BA19/AZ19),BA19/AZ19," - ")</f>
        <v>1.131979695431472</v>
      </c>
      <c r="BE19" s="210">
        <f>IF(ISNUMBER(BB19/BA19),BB19/BA19, " - ")</f>
        <v>1.8878923766816142</v>
      </c>
      <c r="BF19" s="210">
        <f>IF(ISNUMBER(BC19/BA19),BC19/BA19, " - ")</f>
        <v>0.21300448430493274</v>
      </c>
      <c r="BG19" s="135">
        <f>IF(ISNUMBER((AY19+AZ19)/BA19),(AY19+AZ19)/BA19," - ")</f>
        <v>2.8878923766816142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AxBaBLlqxaLZouapknjrMgAM1eTEVmF8BTQGOgl2fJNcCDRw2SzsNXnUhICMrsxDcNNCmhhjBt6XiG38bgo9g==" saltValue="pHYycQxo5T8zwqfE99iMO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Q3MYyHiWKXVNjpIVjzpJ0wktXb3GjMciEj3dtZFyM7irg6UqUzb3L5yVr5I8Qui0qXq5N3tcyFrdPOU7jd2w==" saltValue="G6Yf5NfSLWAhvFMXS0kyB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ALCALA LA REAL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51</v>
      </c>
      <c r="G10" s="333">
        <f>IF(ISNUMBER(Datos!I10),Datos!I10," - ")</f>
        <v>51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2</v>
      </c>
      <c r="AD10" s="334"/>
      <c r="AE10" s="484"/>
      <c r="AF10" s="332">
        <f>IF(ISNUMBER(Datos!L10),Datos!L10,"-")</f>
        <v>50</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50.000000000000007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-0.22222222222222221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37</v>
      </c>
      <c r="O12" s="334"/>
      <c r="P12" s="334"/>
      <c r="Q12" s="226">
        <f>IF(ISNUMBER(Datos!P12),Datos!P12,0)</f>
        <v>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81</v>
      </c>
      <c r="AI12" s="334" t="str">
        <f>IF(ISNUMBER(Datos!CD12),Datos!CD12,"-")</f>
        <v>-</v>
      </c>
      <c r="AJ12" s="334" t="str">
        <f>IF(ISNUMBER(Datos!EN12),Datos!EN12," - ")</f>
        <v xml:space="preserve"> - </v>
      </c>
      <c r="AK12" s="334"/>
      <c r="AL12" s="479"/>
      <c r="AM12" s="335">
        <f>IF(ISNUMBER(Datos!R12),Datos!R12," - ")</f>
        <v>1227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69</v>
      </c>
      <c r="BD12" s="229">
        <f>IF(ISNUMBER(Datos!N12),Datos!N12," - ")</f>
        <v>81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v>
      </c>
      <c r="BH12" s="260">
        <f>IF(ISNUMBER(((IF(J_V="SI",Datos!L12/Datos!K12,(Datos!L12+Datos!AB12)/(Datos!K12+Datos!AA12)))*11)/factor_trimestre),((IF(J_V="SI",Datos!L12/Datos!K12,(Datos!L12+Datos!AB12)/(Datos!K12+Datos!AA12)))*11)/factor_trimestre," - ")</f>
        <v>15.837837837837839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2.8499580888516344E-2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51</v>
      </c>
      <c r="G13" s="898">
        <f t="shared" si="0"/>
        <v>51</v>
      </c>
      <c r="H13" s="899">
        <f t="shared" si="0"/>
        <v>0</v>
      </c>
      <c r="I13" s="898">
        <f t="shared" si="0"/>
        <v>0</v>
      </c>
      <c r="J13" s="867">
        <f t="shared" si="0"/>
        <v>0</v>
      </c>
      <c r="K13" s="867">
        <f t="shared" si="0"/>
        <v>0</v>
      </c>
      <c r="L13" s="899">
        <f t="shared" si="0"/>
        <v>0</v>
      </c>
      <c r="M13" s="899">
        <f t="shared" si="0"/>
        <v>0</v>
      </c>
      <c r="N13" s="899">
        <f t="shared" si="0"/>
        <v>37</v>
      </c>
      <c r="O13" s="900">
        <f t="shared" si="0"/>
        <v>0</v>
      </c>
      <c r="P13" s="900">
        <f t="shared" si="0"/>
        <v>0</v>
      </c>
      <c r="Q13" s="899">
        <f t="shared" si="0"/>
        <v>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21</v>
      </c>
      <c r="AD13" s="899">
        <f t="shared" si="1"/>
        <v>0</v>
      </c>
      <c r="AE13" s="899">
        <f t="shared" si="1"/>
        <v>0</v>
      </c>
      <c r="AF13" s="899">
        <f t="shared" si="1"/>
        <v>50</v>
      </c>
      <c r="AG13" s="899">
        <f t="shared" si="1"/>
        <v>0</v>
      </c>
      <c r="AH13" s="899">
        <f t="shared" si="1"/>
        <v>81</v>
      </c>
      <c r="AI13" s="899">
        <f t="shared" si="1"/>
        <v>0</v>
      </c>
      <c r="AJ13" s="899">
        <f t="shared" si="1"/>
        <v>0</v>
      </c>
      <c r="AK13" s="899">
        <f t="shared" si="1"/>
        <v>0</v>
      </c>
      <c r="AL13" s="899">
        <f t="shared" si="1"/>
        <v>0</v>
      </c>
      <c r="AM13" s="899">
        <f t="shared" si="1"/>
        <v>1234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70</v>
      </c>
      <c r="BD13" s="899">
        <f t="shared" si="1"/>
        <v>81</v>
      </c>
      <c r="BE13" s="899">
        <f t="shared" si="1"/>
        <v>0</v>
      </c>
      <c r="BF13" s="899">
        <f t="shared" si="1"/>
        <v>0</v>
      </c>
      <c r="BG13" s="899">
        <f>IF(ISNUMBER(Datos!K13/Datos!J13),Datos!K13/Datos!J13," - ")</f>
        <v>0.37307692307692308</v>
      </c>
      <c r="BH13" s="903">
        <f>IF(ISNUMBER(((Datos!L13/Datos!K13)*11)/factor_trimestre),((Datos!L13/Datos!K13)*11)/factor_trimestre," - ")</f>
        <v>17.64432989690722</v>
      </c>
      <c r="BI13" s="899">
        <f>IF(ISNUMBER('Resol  Asuntos'!D13/NºAsuntos!G13),'Resol  Asuntos'!D13/NºAsuntos!G13," - ")</f>
        <v>0.31111111111111112</v>
      </c>
      <c r="BJ13" s="899" t="str">
        <f>IF(ISNUMBER(Datos!CI13/Datos!CJ13),Datos!CI13/Datos!CJ13," - ")</f>
        <v xml:space="preserve"> - </v>
      </c>
      <c r="BK13" s="899">
        <f>SUBTOTAL(9,BK8:BK12)</f>
        <v>0</v>
      </c>
      <c r="BL13" s="899">
        <f>IF(ISNUMBER((I13-AB13+L13)/(F13)),(I13-AB13+L13)/(F13)," - ")</f>
        <v>-5.8823529411764705E-2</v>
      </c>
      <c r="BM13" s="904">
        <f>SUBTOTAL(9,BM9:BM12)</f>
        <v>-0.19372264133370587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665</v>
      </c>
      <c r="G16" s="598">
        <f>IF(ISNUMBER(IF(D_I="SI",Datos!I16,Datos!I16+Datos!AC16)),IF(D_I="SI",Datos!I16,Datos!I16+Datos!AC16)," - ")</f>
        <v>665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597</v>
      </c>
      <c r="AC16" s="226">
        <f>IF(ISNUMBER(Datos!Q16),Datos!Q16," - ")</f>
        <v>8</v>
      </c>
      <c r="AD16" s="334"/>
      <c r="AE16" s="484"/>
      <c r="AF16" s="596">
        <f>IF(ISNUMBER(IF(D_I="SI",Datos!L16,Datos!L16+Datos!AF16)),IF(D_I="SI",Datos!L16,Datos!L16+Datos!AF16)," - ")</f>
        <v>612</v>
      </c>
      <c r="AG16" s="334"/>
      <c r="AH16" s="334"/>
      <c r="AI16" s="334"/>
      <c r="AJ16" s="334"/>
      <c r="AK16" s="334"/>
      <c r="AL16" s="479"/>
      <c r="AM16" s="335">
        <f>IF(ISNUMBER(Datos!R16),Datos!R16," - ")</f>
        <v>100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56</v>
      </c>
      <c r="BD16" s="229">
        <f>IF(ISNUMBER(Datos!N16),Datos!N16," - ")</f>
        <v>487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1.0974264705882353</v>
      </c>
      <c r="BH16" s="260">
        <f>IF(ISNUMBER(((IF(D_I="SI",Datos!L16/Datos!K16,(Datos!L16+Datos!AF16)/(Datos!K16+Datos!AE16)))*11)/factor_trimestre),((IF(D_I="SI",Datos!L16/Datos!K16,(Datos!L16+Datos!AF16)/(Datos!K16+Datos!AE16)))*11)/factor_trimestre," - ")</f>
        <v>3.075376884422111</v>
      </c>
      <c r="BI16" s="243">
        <f>IF(ISNUMBER('Resol  Asuntos'!D16/NºAsuntos!G16),'Resol  Asuntos'!D16/NºAsuntos!G16," - ")</f>
        <v>9.380234505862646E-2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40</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v>
      </c>
      <c r="BH17" s="260">
        <f>IF(ISNUMBER(((IF(D_I="SI",Datos!L17/Datos!K17,(Datos!L17+Datos!AF17)/(Datos!K17+Datos!AE17)))*11)/factor_trimestre),((IF(D_I="SI",Datos!L17/Datos!K17,(Datos!L17+Datos!AF17)/(Datos!K17+Datos!AE17)))*11)/factor_trimestre," - ")</f>
        <v>0.67500000000000004</v>
      </c>
      <c r="BI17" s="243">
        <f>IF(ISNUMBER('Resol  Asuntos'!D17/NºAsuntos!G17),'Resol  Asuntos'!D17/NºAsuntos!G17," - ")</f>
        <v>2.5000000000000001E-2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665</v>
      </c>
      <c r="G18" s="898">
        <f>SUBTOTAL(9,G15:G17)</f>
        <v>710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637</v>
      </c>
      <c r="AC18" s="899">
        <f t="shared" si="4"/>
        <v>8</v>
      </c>
      <c r="AD18" s="899">
        <f t="shared" si="4"/>
        <v>0</v>
      </c>
      <c r="AE18" s="899">
        <f t="shared" si="4"/>
        <v>0</v>
      </c>
      <c r="AF18" s="899">
        <f t="shared" si="4"/>
        <v>621</v>
      </c>
      <c r="AG18" s="899">
        <f t="shared" si="4"/>
        <v>0</v>
      </c>
      <c r="AH18" s="899">
        <f t="shared" si="4"/>
        <v>0</v>
      </c>
      <c r="AI18" s="899">
        <f t="shared" si="4"/>
        <v>0</v>
      </c>
      <c r="AJ18" s="899">
        <f t="shared" si="4"/>
        <v>0</v>
      </c>
      <c r="AK18" s="899">
        <f t="shared" si="4"/>
        <v>0</v>
      </c>
      <c r="AL18" s="899">
        <f t="shared" si="4"/>
        <v>0</v>
      </c>
      <c r="AM18" s="899">
        <f t="shared" si="4"/>
        <v>100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57</v>
      </c>
      <c r="BD18" s="899">
        <f t="shared" si="4"/>
        <v>526</v>
      </c>
      <c r="BE18" s="899">
        <f t="shared" si="4"/>
        <v>0</v>
      </c>
      <c r="BF18" s="899">
        <f t="shared" si="4"/>
        <v>0</v>
      </c>
      <c r="BG18" s="899">
        <f>IF(ISNUMBER(Datos!K18/Datos!J18),Datos!K18/Datos!J18," - ")</f>
        <v>1.1624087591240877</v>
      </c>
      <c r="BH18" s="903">
        <f>IF(ISNUMBER(((Datos!L18/Datos!K18)*11)/factor_trimestre),((Datos!L18/Datos!K18)*11)/factor_trimestre," - ")</f>
        <v>2.9246467817896389</v>
      </c>
      <c r="BI18" s="899">
        <f>SUBTOTAL(9,BI15:BI17)</f>
        <v>0.11880234505862647</v>
      </c>
      <c r="BJ18" s="899">
        <f>SUBTOTAL(9,BJ15:BJ17)</f>
        <v>0</v>
      </c>
      <c r="BK18" s="899">
        <f>SUBTOTAL(9,BK15:BK17)</f>
        <v>0</v>
      </c>
      <c r="BL18" s="899">
        <f>IF(ISNUMBER((I18-AB18+L18)/(F18)),(I18-AB18+L18)/(F18)," - ")</f>
        <v>-0.95789473684210524</v>
      </c>
      <c r="BM18" s="905">
        <f>IF(ISNUMBER((Datos!P18-Datos!Q18)/(Datos!R18-Datos!P18+Datos!Q18)),(Datos!P18-Datos!Q18)/(Datos!R18-Datos!P18+Datos!Q18)," - ")</f>
        <v>4.1666666666666664E-2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716</v>
      </c>
      <c r="G19" s="820">
        <f t="shared" si="6"/>
        <v>761</v>
      </c>
      <c r="H19" s="822">
        <f t="shared" si="6"/>
        <v>0</v>
      </c>
      <c r="I19" s="820">
        <f t="shared" si="6"/>
        <v>0</v>
      </c>
      <c r="J19" s="822">
        <f t="shared" si="6"/>
        <v>0</v>
      </c>
      <c r="K19" s="822">
        <f t="shared" si="6"/>
        <v>0</v>
      </c>
      <c r="L19" s="881">
        <f t="shared" si="6"/>
        <v>0</v>
      </c>
      <c r="M19" s="881">
        <f t="shared" si="6"/>
        <v>0</v>
      </c>
      <c r="N19" s="881">
        <f t="shared" si="6"/>
        <v>37</v>
      </c>
      <c r="O19" s="881">
        <f t="shared" si="6"/>
        <v>0</v>
      </c>
      <c r="P19" s="881">
        <f t="shared" si="6"/>
        <v>0</v>
      </c>
      <c r="Q19" s="822">
        <f t="shared" si="6"/>
        <v>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640</v>
      </c>
      <c r="AC19" s="821">
        <f t="shared" si="7"/>
        <v>29</v>
      </c>
      <c r="AD19" s="821">
        <f t="shared" si="7"/>
        <v>0</v>
      </c>
      <c r="AE19" s="821">
        <f t="shared" si="7"/>
        <v>0</v>
      </c>
      <c r="AF19" s="828">
        <f t="shared" si="7"/>
        <v>671</v>
      </c>
      <c r="AG19" s="828">
        <f t="shared" si="7"/>
        <v>0</v>
      </c>
      <c r="AH19" s="828">
        <f t="shared" si="7"/>
        <v>81</v>
      </c>
      <c r="AI19" s="828">
        <f t="shared" si="7"/>
        <v>0</v>
      </c>
      <c r="AJ19" s="821">
        <f t="shared" si="7"/>
        <v>0</v>
      </c>
      <c r="AK19" s="828">
        <f t="shared" si="7"/>
        <v>0</v>
      </c>
      <c r="AL19" s="828">
        <f t="shared" si="7"/>
        <v>0</v>
      </c>
      <c r="AM19" s="828">
        <f t="shared" si="7"/>
        <v>1334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v>
      </c>
      <c r="BD19" s="820">
        <f t="shared" si="7"/>
        <v>607</v>
      </c>
      <c r="BE19" s="820">
        <f t="shared" si="7"/>
        <v>0</v>
      </c>
      <c r="BF19" s="830">
        <f t="shared" si="7"/>
        <v>0</v>
      </c>
      <c r="BG19" s="915">
        <f>IF(ISNUMBER(Datos!K19/Datos!J19),Datos!K19/Datos!J19," - ")</f>
        <v>0.7780898876404494</v>
      </c>
      <c r="BH19" s="915">
        <f>IF(ISNUMBER(((Datos!L19/Datos!K19)*11)/factor_trimestre),((Datos!L19/Datos!K19)*11)/factor_trimestre," - ")</f>
        <v>6.3610108303249087</v>
      </c>
      <c r="BI19" s="813">
        <f>IF(ISNUMBER(Datos!J19/Datos!I19),Datos!J19/Datos!I19," - ")</f>
        <v>0.70032786885245901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-0.8938547486033519</v>
      </c>
      <c r="BM19" s="889">
        <f>IF(ISNUMBER((Datos!P19-Datos!Q19+R19)/(Datos!R19-Datos!P19+Datos!Q19-R19)),(Datos!P19-Datos!Q19+R19)/(Datos!R19-Datos!P19+Datos!Q19-R19)," - ")</f>
        <v>2.7734976887519261E-2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304.39999999999998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354.49306528243022</v>
      </c>
      <c r="G21" s="552">
        <f>IF(ISNUMBER(STDEV(G8:G18)),STDEV(G8:G18),"-")</f>
        <v>350.09113099306018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330.19539669716778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32.54330448289889</v>
      </c>
      <c r="BD21" s="551"/>
      <c r="BE21" s="551">
        <f>IF(ISNUMBER(STDEV(BE8:BE18)),STDEV(BE8:BE18),"-")</f>
        <v>0</v>
      </c>
      <c r="BF21" s="556">
        <f>IF(ISNUMBER(STDEV(BF8:BF18)),STDEV(BF8:BF18),"-")</f>
        <v>0</v>
      </c>
      <c r="BG21" s="775">
        <f>IF(ISNUMBER(STDEV(BG8:BG18)),STDEV(BG8:BG18),"-")</f>
        <v>3.7390855236377556</v>
      </c>
      <c r="BH21" s="776">
        <f>IF(ISNUMBER(STDEV(BH8:BH18)),STDEV(BH8:BH18),"-")</f>
        <v>18.579056765346763</v>
      </c>
      <c r="BI21" s="249">
        <f>IF(ISNUMBER(STDEV(BI8:BI18)),STDEV(BI8:BI18),"-")</f>
        <v>0.12255032021894151</v>
      </c>
      <c r="BJ21" s="230" t="str">
        <f>IF(ISNUMBER(BL21/BM21),BL21/BM21," - ")</f>
        <v xml:space="preserve"> - </v>
      </c>
      <c r="BK21" s="575"/>
      <c r="BL21" s="559">
        <f>IF(ISNUMBER(STDEV(BL8:BL18)),STDEV(BL8:BL18),"-")</f>
        <v>0.63573934754357109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VmaEhZF7t7N8ZE/dNxhlwOr+OUaMVY8vJ49bIwFREn+EAZmqihPrjJ6CI+AxgNXsYOPVNh02Mmg9PPO7lm+GFg==" saltValue="3EbvA6znrWoRog0nIffXG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ALCALA LA REAL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51</v>
      </c>
      <c r="G10" s="225">
        <f>IF(ISNUMBER(Datos!I10),Datos!I10," - ")</f>
        <v>51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2</v>
      </c>
      <c r="AA10" s="332">
        <f>IF(ISNUMBER(Datos!L10),Datos!L10,"-")</f>
        <v>50</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50.000000000000007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-0.22222222222222221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1227</v>
      </c>
      <c r="AF12" s="229" t="str">
        <f>IF(ISNUMBER(Datos!BV12),Datos!BV12," - ")</f>
        <v xml:space="preserve"> - </v>
      </c>
      <c r="AG12" s="225" t="str">
        <f>IF(ISNUMBER(Datos!DV12),Datos!DV12," - ")</f>
        <v xml:space="preserve"> - </v>
      </c>
      <c r="AH12" s="298"/>
      <c r="AI12" s="227"/>
      <c r="AJ12" s="225">
        <f>IF(ISNUMBER(Datos!M12),Datos!M12," - ")</f>
        <v>69</v>
      </c>
      <c r="AK12" s="229">
        <f>IF(ISNUMBER(Datos!N12),Datos!N12," - ")</f>
        <v>81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15.837837837837839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2.8499580888516344E-2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51</v>
      </c>
      <c r="G13" s="898">
        <f>SUBTOTAL(9,G8:G12)</f>
        <v>51</v>
      </c>
      <c r="H13" s="908"/>
      <c r="I13" s="898">
        <f t="shared" ref="I13:N13" si="0">SUBTOTAL(9,I8:I12)</f>
        <v>0</v>
      </c>
      <c r="J13" s="867">
        <f t="shared" si="0"/>
        <v>0</v>
      </c>
      <c r="K13" s="908">
        <f t="shared" si="0"/>
        <v>0</v>
      </c>
      <c r="L13" s="908">
        <f t="shared" si="0"/>
        <v>0</v>
      </c>
      <c r="M13" s="908">
        <f t="shared" si="0"/>
        <v>0</v>
      </c>
      <c r="N13" s="908">
        <f t="shared" si="0"/>
        <v>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21</v>
      </c>
      <c r="AA13" s="900">
        <f t="shared" si="2"/>
        <v>50</v>
      </c>
      <c r="AB13" s="900">
        <f t="shared" si="2"/>
        <v>0</v>
      </c>
      <c r="AC13" s="900">
        <f t="shared" si="2"/>
        <v>0</v>
      </c>
      <c r="AD13" s="900">
        <f t="shared" si="2"/>
        <v>0</v>
      </c>
      <c r="AE13" s="900">
        <f t="shared" si="2"/>
        <v>1234</v>
      </c>
      <c r="AF13" s="908">
        <f t="shared" si="2"/>
        <v>0</v>
      </c>
      <c r="AG13" s="908">
        <f t="shared" si="2"/>
        <v>0</v>
      </c>
      <c r="AH13" s="908">
        <f t="shared" si="2"/>
        <v>0</v>
      </c>
      <c r="AI13" s="908">
        <f t="shared" si="2"/>
        <v>0</v>
      </c>
      <c r="AJ13" s="908">
        <f t="shared" si="2"/>
        <v>70</v>
      </c>
      <c r="AK13" s="908">
        <f t="shared" si="2"/>
        <v>81</v>
      </c>
      <c r="AL13" s="908">
        <f t="shared" si="2"/>
        <v>0</v>
      </c>
      <c r="AM13" s="908">
        <f t="shared" si="2"/>
        <v>0</v>
      </c>
      <c r="AN13" s="908">
        <f t="shared" si="2"/>
        <v>0</v>
      </c>
      <c r="AO13" s="904">
        <f>IF(ISNUMBER(((NºAsuntos!I13/NºAsuntos!G13)*11)/factor_trimestre),((NºAsuntos!I13/NºAsuntos!G13)*11)/factor_trimestre," - ")</f>
        <v>16.293333333333333</v>
      </c>
      <c r="AP13" s="910" t="str">
        <f>IF(ISNUMBER(Datos!CI13/Datos!CJ13),Datos!CI13/Datos!CJ13," - ")</f>
        <v xml:space="preserve"> - </v>
      </c>
      <c r="AQ13" s="928">
        <f t="shared" ref="AQ13:AV13" si="3">SUBTOTAL(9,AQ9:AQ12)</f>
        <v>0</v>
      </c>
      <c r="AR13" s="928">
        <f t="shared" si="3"/>
        <v>-0.19372264133370587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665</v>
      </c>
      <c r="G16" s="225">
        <f>IF(ISNUMBER(IF(D_I="SI",Datos!I16,Datos!I16+Datos!AC16)),IF(D_I="SI",Datos!I16,Datos!I16+Datos!AC16)," - ")</f>
        <v>665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597</v>
      </c>
      <c r="Z16" s="619">
        <f>IF(ISNUMBER(Datos!Q16),Datos!Q16," - ")</f>
        <v>8</v>
      </c>
      <c r="AA16" s="332">
        <f>IF(ISNUMBER(IF(D_I="SI",Datos!L16,Datos!L16+Datos!AF16)),IF(D_I="SI",Datos!L16,Datos!L16+Datos!AF16)," - ")</f>
        <v>612</v>
      </c>
      <c r="AB16" s="334"/>
      <c r="AC16" s="334"/>
      <c r="AD16" s="484"/>
      <c r="AE16" s="484">
        <f>IF(ISNUMBER(Datos!R16),Datos!R16," - ")</f>
        <v>100</v>
      </c>
      <c r="AF16" s="229" t="str">
        <f>IF(ISNUMBER(Datos!BV16),Datos!BV16," - ")</f>
        <v xml:space="preserve"> - </v>
      </c>
      <c r="AG16" s="225"/>
      <c r="AH16" s="298"/>
      <c r="AI16" s="227"/>
      <c r="AJ16" s="225">
        <f>IF(ISNUMBER(Datos!M16),Datos!M16," - ")</f>
        <v>56</v>
      </c>
      <c r="AK16" s="229">
        <f>IF(ISNUMBER(Datos!N16),Datos!N16," - ")</f>
        <v>487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3.075376884422111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40</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0.67500000000000004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665</v>
      </c>
      <c r="G18" s="898">
        <f>SUBTOTAL(9,G15:G17)</f>
        <v>710</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637</v>
      </c>
      <c r="Z18" s="932">
        <f t="shared" si="5"/>
        <v>8</v>
      </c>
      <c r="AA18" s="932">
        <f t="shared" si="5"/>
        <v>621</v>
      </c>
      <c r="AB18" s="932">
        <f t="shared" si="5"/>
        <v>0</v>
      </c>
      <c r="AC18" s="932">
        <f t="shared" si="5"/>
        <v>0</v>
      </c>
      <c r="AD18" s="932">
        <f t="shared" si="5"/>
        <v>0</v>
      </c>
      <c r="AE18" s="932">
        <f t="shared" si="5"/>
        <v>100</v>
      </c>
      <c r="AF18" s="932">
        <f t="shared" si="5"/>
        <v>0</v>
      </c>
      <c r="AG18" s="932">
        <f t="shared" si="5"/>
        <v>0</v>
      </c>
      <c r="AH18" s="932">
        <f t="shared" si="5"/>
        <v>0</v>
      </c>
      <c r="AI18" s="932">
        <f t="shared" si="5"/>
        <v>0</v>
      </c>
      <c r="AJ18" s="932">
        <f t="shared" si="5"/>
        <v>57</v>
      </c>
      <c r="AK18" s="932">
        <f t="shared" si="5"/>
        <v>526</v>
      </c>
      <c r="AL18" s="932">
        <f t="shared" si="5"/>
        <v>0</v>
      </c>
      <c r="AM18" s="932">
        <f t="shared" si="5"/>
        <v>0</v>
      </c>
      <c r="AN18" s="932">
        <f t="shared" si="5"/>
        <v>0</v>
      </c>
      <c r="AO18" s="934">
        <f>IF(ISNUMBER(((NºAsuntos!I18/NºAsuntos!G18)*11)/factor_trimestre),((NºAsuntos!I18/NºAsuntos!G18)*11)/factor_trimestre," - ")</f>
        <v>2.9246467817896389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716</v>
      </c>
      <c r="G19" s="820">
        <f t="shared" si="7"/>
        <v>761</v>
      </c>
      <c r="H19" s="821">
        <f t="shared" si="7"/>
        <v>0</v>
      </c>
      <c r="I19" s="820">
        <f t="shared" si="7"/>
        <v>0</v>
      </c>
      <c r="J19" s="822">
        <f t="shared" si="7"/>
        <v>0</v>
      </c>
      <c r="K19" s="820">
        <f t="shared" si="7"/>
        <v>0</v>
      </c>
      <c r="L19" s="823">
        <f t="shared" si="7"/>
        <v>0</v>
      </c>
      <c r="M19" s="820">
        <f t="shared" si="7"/>
        <v>0</v>
      </c>
      <c r="N19" s="821">
        <f t="shared" si="7"/>
        <v>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640</v>
      </c>
      <c r="Z19" s="827">
        <f t="shared" si="8"/>
        <v>29</v>
      </c>
      <c r="AA19" s="828">
        <f t="shared" si="8"/>
        <v>671</v>
      </c>
      <c r="AB19" s="828">
        <f t="shared" si="8"/>
        <v>0</v>
      </c>
      <c r="AC19" s="828">
        <f t="shared" si="8"/>
        <v>0</v>
      </c>
      <c r="AD19" s="829">
        <f t="shared" si="8"/>
        <v>0</v>
      </c>
      <c r="AE19" s="829">
        <f t="shared" si="8"/>
        <v>1334</v>
      </c>
      <c r="AF19" s="830">
        <f t="shared" si="8"/>
        <v>0</v>
      </c>
      <c r="AG19" s="831">
        <f t="shared" si="8"/>
        <v>0</v>
      </c>
      <c r="AH19" s="832">
        <f t="shared" si="8"/>
        <v>0</v>
      </c>
      <c r="AI19" s="830">
        <f t="shared" si="8"/>
        <v>0</v>
      </c>
      <c r="AJ19" s="820">
        <f t="shared" si="8"/>
        <v>127</v>
      </c>
      <c r="AK19" s="820">
        <f t="shared" si="8"/>
        <v>607</v>
      </c>
      <c r="AL19" s="820">
        <f t="shared" si="8"/>
        <v>0</v>
      </c>
      <c r="AM19" s="833">
        <f t="shared" si="8"/>
        <v>0</v>
      </c>
      <c r="AN19" s="823">
        <f>IF(ISNUMBER(Datos!K19/Datos!J19),Datos!K19/Datos!J19," - ")</f>
        <v>0.7780898876404494</v>
      </c>
      <c r="AO19" s="823">
        <f>IF(ISNUMBER(FIND("06",Criterios!A8,1)),(IF(ISNUMBER(((Datos!R19/Datos!Q19)*11)/factor_trimestre),((Datos!R19/Datos!Q19)*11)/factor_trimestre," - ")),(IF(ISNUMBER(((Datos!L19/Datos!K19)*11)/factor_trimestre),((Datos!L19/Datos!K19)*11)/factor_trimestre," - ")))</f>
        <v>6.3610108303249087</v>
      </c>
      <c r="AP19" s="834" t="str">
        <f>IF(ISNUMBER(Datos!CI19/Datos!CJ19),Datos!CI19/Datos!CJ19," - ")</f>
        <v xml:space="preserve"> - </v>
      </c>
      <c r="AQ19" s="834">
        <f>IF(OR(ISNUMBER(FIND("01",Criterios!A8,1)),ISNUMBER(FIND("02",Criterios!A8,1)),ISNUMBER(FIND("03",Criterios!A8,1)),ISNUMBER(FIND("04",Criterios!A8,1))),(J19-Y19+K19)/(F19-K19),(I19-Y19+K19)/(F19-K19))</f>
        <v>-0.8938547486033519</v>
      </c>
      <c r="AR19" s="834">
        <f>IF(ISNUMBER((Datos!P19-Datos!Q19+O19)/(Datos!R19-Datos!P19+Datos!Q19-O19)),(Datos!P19-Datos!Q19+O19)/(Datos!R19-Datos!P19+Datos!Q19-O19)," - ")</f>
        <v>2.7734976887519261E-2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304.39999999999998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354.49306528243022</v>
      </c>
      <c r="G21" s="552">
        <f>IF(ISNUMBER(STDEV(G8:G18)),STDEV(G8:G18),"-")</f>
        <v>350.09113099306018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32.54330448289889</v>
      </c>
      <c r="AK21" s="252"/>
      <c r="AL21" s="252">
        <f>IF(ISNUMBER(STDEV(AL8:AL18)),STDEV(AL8:AL18),"-")</f>
        <v>0</v>
      </c>
      <c r="AM21" s="254">
        <f>IF(ISNUMBER(STDEV(AM8:AM18)),STDEV(AM8:AM18),"-")</f>
        <v>0</v>
      </c>
      <c r="AN21" s="539">
        <f>IF(ISNUMBER(STDEV(AN8:AN18)),STDEV(AN8:AN18),"-")</f>
        <v>0</v>
      </c>
      <c r="AO21" s="540">
        <f>IF(ISNUMBER(STDEV(AO8:AO18)),STDEV(AO8:AO18),"-")</f>
        <v>18.549143223802517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Ci95gej0FruXrdVLPEf7pkVncjv12/yNR2mf0bW/fVeYU2jvdVcdi/2qhdhT35YFuulSRsqq/yg9gIOMHlx8Ew==" saltValue="2yxTN7ivr7DZGhNMPb1eq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Zg5bgBoO6F0C4t4wWYkk+EfCFKSAStb0+EApIMKieG9BfAQCsHq/COhWePmbL0RXH3TqKgIf5gRy5D0TcY/YQ==" saltValue="90QUuxwGjwseAHY5ZJHM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SfGJaB7JePFWLqAnNRYGVPhZabKPdeZXddWHFszL2oYTbKMAudbPp0AKk5cD1bv2sDKirvThaDoqjm6IW2YhA==" saltValue="eN/jrX1BxhBO/fN+2rJEy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ALCALA LA REAL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0.31111111111111112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0.21998877636914813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FT6UmRAxIkbxE0HFWnThDhacK7QunlOC1oDrjTMuqGVUF28gWUTNOcqk1ggGd5x6Vxk4wui7SFcGsqIkzvxOcg==" saltValue="NtGVn4mjaJKeqtfwXfkIC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5oxbG20lIcpGJ3omgRZR3LFdgDqA/c5vP7MtH6fR6d+ufvsKHJ/rGN26PFJCPaaz++/nzFzZLeGiaC8YEU/Xw==" saltValue="yeT/XCooRmw0UdPfiIdKM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ALCALA LA REAL</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51</v>
      </c>
      <c r="D10" s="404">
        <f>IF(ISNUMBER(C10/Datos!BH10),C10/Datos!BH10," - ")</f>
        <v>51</v>
      </c>
      <c r="E10" s="403">
        <f>IF(ISNUMBER(Datos!J10),Datos!J10," - ")</f>
        <v>2</v>
      </c>
      <c r="F10" s="404">
        <f>IF(ISNUMBER(E10/B10),E10/B10," - ")</f>
        <v>2</v>
      </c>
      <c r="G10" s="403">
        <f>IF(ISNUMBER(Datos!K10),Datos!K10," - ")</f>
        <v>3</v>
      </c>
      <c r="H10" s="404">
        <f>IF(ISNUMBER(G10/B10),G10/B10," - ")</f>
        <v>3</v>
      </c>
      <c r="I10" s="403">
        <f>IF(ISNUMBER(Datos!L10),Datos!L10," - ")</f>
        <v>50</v>
      </c>
      <c r="J10" s="404">
        <f>IF(ISNUMBER(I10/B10),I10/B10," - ")</f>
        <v>50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839</v>
      </c>
      <c r="D12" s="404">
        <f>IF(ISNUMBER(C12/Datos!BH12),C12/Datos!BH12," - ")</f>
        <v>419.5</v>
      </c>
      <c r="E12" s="403">
        <f>IF(ISNUMBER(IF(J_V="SI",Datos!J12,Datos!J12+Datos!Z12)),IF(J_V="SI",Datos!J12,Datos!J12+Datos!Z12)," - ")</f>
        <v>555</v>
      </c>
      <c r="F12" s="404">
        <f>IF(ISNUMBER(E12/B12),E12/B12," - ")</f>
        <v>277.5</v>
      </c>
      <c r="G12" s="403">
        <f>IF(ISNUMBER(IF(J_V="SI",Datos!K12,Datos!K12+Datos!AA12)),IF(J_V="SI",Datos!K12,Datos!K12+Datos!AA12)," - ")</f>
        <v>222</v>
      </c>
      <c r="H12" s="404">
        <f>IF(ISNUMBER(G12/B12),G12/B12," - ")</f>
        <v>111</v>
      </c>
      <c r="I12" s="403">
        <f>IF(ISNUMBER(IF(J_V="SI",Datos!L12,Datos!L12+Datos!AB12)),IF(J_V="SI",Datos!L12,Datos!L12+Datos!AB12)," - ")</f>
        <v>1172</v>
      </c>
      <c r="J12" s="404">
        <f>IF(ISNUMBER(I12/B12),I12/B12," - ")</f>
        <v>586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890</v>
      </c>
      <c r="D13" s="850" t="str">
        <f>IF(ISNUMBER(C13/Datos!BI13),C13/Datos!BI13," - ")</f>
        <v xml:space="preserve"> - </v>
      </c>
      <c r="E13" s="849">
        <f>SUBTOTAL(9,E8:E12)</f>
        <v>557</v>
      </c>
      <c r="F13" s="850">
        <f>IF(ISNUMBER(E13/B13),E13/B13," - ")</f>
        <v>278.5</v>
      </c>
      <c r="G13" s="849">
        <f>SUBTOTAL(9,G8:G12)</f>
        <v>225</v>
      </c>
      <c r="H13" s="850">
        <f>IF(ISNUMBER(G13/B13),G13/B13," - ")</f>
        <v>112.5</v>
      </c>
      <c r="I13" s="849">
        <f>SUBTOTAL(9,I8:I12)</f>
        <v>1222</v>
      </c>
      <c r="J13" s="850">
        <f>IF(ISNUMBER(I13/B13),I13/B13," - ")</f>
        <v>611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665</v>
      </c>
      <c r="D16" s="404">
        <f>IF(ISNUMBER(C16/Datos!BH16),C16/Datos!BH16," - ")</f>
        <v>332.5</v>
      </c>
      <c r="E16" s="403">
        <f>IF(ISNUMBER(IF(D_I="SI",Datos!J16,Datos!J16+Datos!AD16)),IF(D_I="SI",Datos!J16,Datos!J16+Datos!AD16)," - ")</f>
        <v>544</v>
      </c>
      <c r="F16" s="404">
        <f>IF(ISNUMBER(E16/B16),E16/B16," - ")</f>
        <v>272</v>
      </c>
      <c r="G16" s="403">
        <f>IF(ISNUMBER(IF(D_I="SI",Datos!K16,Datos!K16+Datos!AE16)),IF(D_I="SI",Datos!K16,Datos!K16+Datos!AE16)," - ")</f>
        <v>597</v>
      </c>
      <c r="H16" s="404">
        <f>IF(ISNUMBER(G16/B16),G16/B16," - ")</f>
        <v>298.5</v>
      </c>
      <c r="I16" s="403">
        <f>IF(ISNUMBER(IF(D_I="SI",Datos!L16,Datos!L16+Datos!AF16)),IF(D_I="SI",Datos!L16,Datos!L16+Datos!AF16)," - ")</f>
        <v>612</v>
      </c>
      <c r="J16" s="404">
        <f>IF(ISNUMBER(I16/B16),I16/B16," - ")</f>
        <v>306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4</v>
      </c>
      <c r="F17" s="404">
        <f>IF(ISNUMBER(E17/B17),E17/B17," - ")</f>
        <v>4</v>
      </c>
      <c r="G17" s="403">
        <f>IF(ISNUMBER(IF(D_I="SI",Datos!K17,Datos!K17+Datos!AE17)),IF(D_I="SI",Datos!K17,Datos!K17+Datos!AE17)," - ")</f>
        <v>40</v>
      </c>
      <c r="H17" s="404">
        <f>IF(ISNUMBER(G17/B17),G17/B17," - ")</f>
        <v>40</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710</v>
      </c>
      <c r="D18" s="850" t="str">
        <f>IF(ISNUMBER(C18/Datos!BI18),C18/Datos!BI18," - ")</f>
        <v xml:space="preserve"> - </v>
      </c>
      <c r="E18" s="849">
        <f>SUBTOTAL(9,E14:E17)</f>
        <v>548</v>
      </c>
      <c r="F18" s="850">
        <f>IF(ISNUMBER(E18/B18),E18/B18," - ")</f>
        <v>274</v>
      </c>
      <c r="G18" s="849">
        <f>SUBTOTAL(9,G14:G17)</f>
        <v>637</v>
      </c>
      <c r="H18" s="850">
        <f>IF(ISNUMBER(G18/B18),G18/B18," - ")</f>
        <v>318.5</v>
      </c>
      <c r="I18" s="849">
        <f>SUBTOTAL(9,I14:I17)</f>
        <v>621</v>
      </c>
      <c r="J18" s="850">
        <f>IF(ISNUMBER(I18/B18),I18/B18," - ")</f>
        <v>310.5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1600</v>
      </c>
      <c r="D19" s="795" t="str">
        <f>IF(ISNUMBER(C19/Datos!BI19),C19/Datos!BI19," - ")</f>
        <v xml:space="preserve"> - </v>
      </c>
      <c r="E19" s="794">
        <f>SUBTOTAL(9,E9:E18)</f>
        <v>1105</v>
      </c>
      <c r="F19" s="795">
        <f>IF(ISNUMBER(E19/B19),E19/B19," - ")</f>
        <v>552.5</v>
      </c>
      <c r="G19" s="794">
        <f>SUBTOTAL(9,G9:G18)</f>
        <v>862</v>
      </c>
      <c r="H19" s="795">
        <f>IF(ISNUMBER(G19/B19),G19/B19," - ")</f>
        <v>431</v>
      </c>
      <c r="I19" s="794">
        <f>SUBTOTAL(9,I9:I18)</f>
        <v>1843</v>
      </c>
      <c r="J19" s="795">
        <f>IF(ISNUMBER(I19/B19),I19/B19," - ")</f>
        <v>921.5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7bOtOxdNgj1AoDzVfmcqjWsz/E5Q3nZAXNbtHahU+tWogR+NRYOlQFZsu5zrfgP3i+vIeaHm6pQWxAbMoQCNvA==" saltValue="b70geCPb9JbF+1TWhGL1o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ALCALA LA REAL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51</v>
      </c>
      <c r="G10" s="684">
        <f>IF(ISNUMBER(Datos!I10),Datos!I10," - ")</f>
        <v>51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50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50.000000000000007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69</v>
      </c>
      <c r="AM12" s="690">
        <f>IF(ISNUMBER(Datos!N12+DatosP!N16),Datos!N12+DatosP!N16," - ")</f>
        <v>81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15.837837837837839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2.8499580888516344E-2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51</v>
      </c>
      <c r="G13" s="938">
        <f t="shared" si="0"/>
        <v>51</v>
      </c>
      <c r="H13" s="938">
        <f t="shared" si="0"/>
        <v>0</v>
      </c>
      <c r="I13" s="940">
        <f t="shared" si="0"/>
        <v>0</v>
      </c>
      <c r="J13" s="939">
        <f t="shared" si="0"/>
        <v>0</v>
      </c>
      <c r="K13" s="939">
        <f t="shared" si="0"/>
        <v>0</v>
      </c>
      <c r="L13" s="941">
        <f t="shared" si="0"/>
        <v>0</v>
      </c>
      <c r="M13" s="941">
        <f t="shared" si="0"/>
        <v>0</v>
      </c>
      <c r="N13" s="939">
        <f t="shared" si="0"/>
        <v>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19</v>
      </c>
      <c r="AE13" s="939">
        <f t="shared" si="1"/>
        <v>0</v>
      </c>
      <c r="AF13" s="939">
        <f t="shared" si="1"/>
        <v>50</v>
      </c>
      <c r="AG13" s="939">
        <f t="shared" si="1"/>
        <v>0</v>
      </c>
      <c r="AH13" s="939">
        <f t="shared" si="1"/>
        <v>1227</v>
      </c>
      <c r="AI13" s="939">
        <f t="shared" si="1"/>
        <v>0</v>
      </c>
      <c r="AJ13" s="939">
        <f t="shared" si="1"/>
        <v>0</v>
      </c>
      <c r="AK13" s="939">
        <f t="shared" si="1"/>
        <v>0</v>
      </c>
      <c r="AL13" s="939">
        <f t="shared" si="1"/>
        <v>70</v>
      </c>
      <c r="AM13" s="939">
        <f t="shared" si="1"/>
        <v>81</v>
      </c>
      <c r="AN13" s="939">
        <f t="shared" si="1"/>
        <v>0</v>
      </c>
      <c r="AO13" s="939">
        <f t="shared" si="1"/>
        <v>0</v>
      </c>
      <c r="AP13" s="944">
        <f>IF(ISNUMBER(((Datos!L13/Datos!K13)*11)/factor_trimestre),((Datos!L13/Datos!K13)*11)/factor_trimestre," - ")</f>
        <v>17.64432989690722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-5.8823529411764705E-2</v>
      </c>
      <c r="AU13" s="939" t="str">
        <f>IF(ISNUMBER((DatosP!#REF!-DatosP!#REF!+DatosP!#REF!)/(DatosP!#REF!+DatosP!#REF!-DatosP!#REF!-DatosP!#REF!)),(DatosP!#REF!-DatosP!#REF!+DatosP!#REF!)/(DatosP!#REF!+DatosP!#REF!-DatosP!#REF!-DatosP!#REF!)," - ")</f>
        <v xml:space="preserve"> - </v>
      </c>
      <c r="AV13" s="945">
        <f>SUBTOTAL(9,AV9:AV12)</f>
        <v>2.8499580888516344E-2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2.9246467817896389</v>
      </c>
      <c r="AQ18" s="944">
        <f>IF(ISNUMBER(((Datos!M18/Datos!L18)*11)/factor_trimestre),((Datos!M18/Datos!L18)*11)/factor_trimestre," - ")</f>
        <v>0.27536231884057971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4.1666666666666664E-2</v>
      </c>
      <c r="AW18" s="946">
        <f>IF(ISNUMBER((Datos!Q18-Datos!R18)/(Datos!S18-Datos!Q18+Datos!R18)),(Datos!Q18-Datos!R18)/(Datos!S18-Datos!Q18+Datos!R18)," - ")</f>
        <v>-9.1542288557213927E-2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51</v>
      </c>
      <c r="G19" s="951">
        <f t="shared" si="4"/>
        <v>51</v>
      </c>
      <c r="H19" s="951">
        <f t="shared" si="4"/>
        <v>0</v>
      </c>
      <c r="I19" s="952">
        <f t="shared" si="4"/>
        <v>0</v>
      </c>
      <c r="J19" s="953">
        <f t="shared" si="4"/>
        <v>0</v>
      </c>
      <c r="K19" s="953">
        <f t="shared" si="4"/>
        <v>0</v>
      </c>
      <c r="L19" s="953">
        <f t="shared" si="4"/>
        <v>0</v>
      </c>
      <c r="M19" s="953">
        <f t="shared" si="4"/>
        <v>0</v>
      </c>
      <c r="N19" s="952">
        <f t="shared" si="4"/>
        <v>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19</v>
      </c>
      <c r="AE19" s="957">
        <f t="shared" si="5"/>
        <v>0</v>
      </c>
      <c r="AF19" s="958">
        <f t="shared" si="5"/>
        <v>50</v>
      </c>
      <c r="AG19" s="958">
        <f t="shared" si="5"/>
        <v>0</v>
      </c>
      <c r="AH19" s="958">
        <f t="shared" si="5"/>
        <v>1227</v>
      </c>
      <c r="AI19" s="958">
        <f t="shared" si="5"/>
        <v>0</v>
      </c>
      <c r="AJ19" s="959">
        <f t="shared" si="5"/>
        <v>0</v>
      </c>
      <c r="AK19" s="959">
        <f t="shared" si="5"/>
        <v>0</v>
      </c>
      <c r="AL19" s="951">
        <f t="shared" si="5"/>
        <v>70</v>
      </c>
      <c r="AM19" s="951">
        <f t="shared" si="5"/>
        <v>81</v>
      </c>
      <c r="AN19" s="951">
        <f t="shared" si="5"/>
        <v>0</v>
      </c>
      <c r="AO19" s="951">
        <f t="shared" si="5"/>
        <v>0</v>
      </c>
      <c r="AP19" s="951">
        <f>IF(ISNUMBER(((Datos!L19/Datos!K19)*11)/factor_trimestre),((Datos!L19/Datos!K19)*11)/factor_trimestre," - ")</f>
        <v>6.3610108303249087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-5.8823529411764705E-2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2.7734976887519261E-2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29.444863728670914</v>
      </c>
      <c r="G21" s="737">
        <f>IF(ISNUMBER(STDEV(G8:G18)),STDEV(G8:G18),"-")</f>
        <v>29.444863728670914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39.841352052024206</v>
      </c>
      <c r="AM21" s="736"/>
      <c r="AN21" s="736">
        <f>IF(ISNUMBER(STDEV(AN8:AN18)),STDEV(AN8:AN18),"-")</f>
        <v>0</v>
      </c>
      <c r="AO21" s="742">
        <f>IF(ISNUMBER(STDEV(AO8:AO18)),STDEV(AO8:AO18),"-")</f>
        <v>0</v>
      </c>
      <c r="AP21" s="779">
        <f>IF(ISNUMBER(STDEV(AP8:AP18)),STDEV(AP8:AP18),"-")</f>
        <v>20.034791779660601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1QEoTRGcn+IV/SiVuVRyCBS/ex4QR3lQlAcgyObyrtsQiZPhsMLLnc5Qz9LxgZTTNRE/u1lba5nCGYwiQ9vB9g==" saltValue="g5mQ07I4VmdStPXsKXlPG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ALCALA LA REAL</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kG6L4/3v071l3nSuzr/Hl3HsnWbuPelirRGD9gi9Zzx5GU262jrgLgY70iBSt+TXsa1+FtiNJXsHP8gJHaGHw==" saltValue="k6UwSSEdW8zEaz4JsmaHw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ALCALA LA REAL</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69</v>
      </c>
      <c r="E12" s="404">
        <f t="shared" si="0"/>
        <v>34.5</v>
      </c>
      <c r="F12" s="403">
        <f>IF(ISNUMBER(Datos!N12),Datos!N12," - ")</f>
        <v>81</v>
      </c>
      <c r="G12" s="404">
        <f t="shared" si="1"/>
        <v>40.5</v>
      </c>
      <c r="H12" s="403">
        <f>IF(ISNUMBER(Datos!O12),Datos!O12," - ")</f>
        <v>88</v>
      </c>
      <c r="I12" s="404">
        <f t="shared" si="2"/>
        <v>44</v>
      </c>
      <c r="BZ12" s="1186">
        <f>Datos!EZ12</f>
        <v>0</v>
      </c>
    </row>
    <row r="13" spans="1:78" ht="14.25" thickTop="1" thickBot="1">
      <c r="A13" s="848" t="str">
        <f>Datos!A13</f>
        <v>TOTAL</v>
      </c>
      <c r="B13" s="849">
        <f>Datos!AP13</f>
        <v>2</v>
      </c>
      <c r="C13" s="851">
        <f>Datos!AR13</f>
        <v>2</v>
      </c>
      <c r="D13" s="849">
        <f>SUBTOTAL(9,D9:D12)</f>
        <v>70</v>
      </c>
      <c r="E13" s="850">
        <f t="shared" si="0"/>
        <v>35</v>
      </c>
      <c r="F13" s="849">
        <f>SUBTOTAL(9,F9:F12)</f>
        <v>81</v>
      </c>
      <c r="G13" s="850">
        <f t="shared" si="1"/>
        <v>40.5</v>
      </c>
      <c r="H13" s="849">
        <f>SUBTOTAL(9,H9:H12)</f>
        <v>89</v>
      </c>
      <c r="I13" s="850">
        <f>IF(ISNUMBER(H13/B13),H13/B13," - ")</f>
        <v>44.5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56</v>
      </c>
      <c r="E16" s="404">
        <f t="shared" si="3"/>
        <v>28</v>
      </c>
      <c r="F16" s="403">
        <f>IF(ISNUMBER(Datos!N16),Datos!N16," - ")</f>
        <v>487</v>
      </c>
      <c r="G16" s="404">
        <f t="shared" si="4"/>
        <v>243.5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39</v>
      </c>
      <c r="G17" s="404">
        <f>IF(ISNUMBER(F17/B17),F17/B17," - ")</f>
        <v>39</v>
      </c>
      <c r="H17" s="403">
        <f>IF(ISNUMBER(Datos!O17),Datos!O17," - ")</f>
        <v>1</v>
      </c>
      <c r="I17" s="404">
        <f t="shared" si="5"/>
        <v>1</v>
      </c>
      <c r="BZ17" s="1186">
        <f>Datos!EZ17</f>
        <v>0</v>
      </c>
    </row>
    <row r="18" spans="1:78" ht="14.25" thickTop="1" thickBot="1">
      <c r="A18" s="848" t="str">
        <f>Datos!A18</f>
        <v>TOTAL</v>
      </c>
      <c r="B18" s="849">
        <f>Datos!AP18</f>
        <v>2</v>
      </c>
      <c r="C18" s="851">
        <f>Datos!AR18</f>
        <v>2</v>
      </c>
      <c r="D18" s="849">
        <f>SUBTOTAL(9,D15:D17)</f>
        <v>57</v>
      </c>
      <c r="E18" s="850">
        <f t="shared" si="3"/>
        <v>28.5</v>
      </c>
      <c r="F18" s="849">
        <f>SUBTOTAL(9,F15:F17)</f>
        <v>526</v>
      </c>
      <c r="G18" s="850">
        <f t="shared" si="4"/>
        <v>263</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127</v>
      </c>
      <c r="E19" s="795">
        <f>IF(ISNUMBER(D19/B19),D19/B19," - ")</f>
        <v>63.5</v>
      </c>
      <c r="F19" s="794">
        <f>SUBTOTAL(9,F8:F18)</f>
        <v>607</v>
      </c>
      <c r="G19" s="795">
        <f>IF(ISNUMBER(F19/B19),F19/B19," - ")</f>
        <v>303.5</v>
      </c>
      <c r="H19" s="794">
        <f>SUBTOTAL(9,H8:H18)</f>
        <v>91</v>
      </c>
      <c r="I19" s="795">
        <f>IF(ISNUMBER(H19/B19),H19/B19," - ")</f>
        <v>45.5</v>
      </c>
    </row>
    <row r="22" spans="1:78">
      <c r="A22" s="391" t="str">
        <f>Criterios!A4</f>
        <v>Fecha Informe: 03 jun. 2025</v>
      </c>
    </row>
    <row r="27" spans="1:78">
      <c r="A27" s="414"/>
    </row>
  </sheetData>
  <sheetProtection algorithmName="SHA-512" hashValue="BmhRqZEswxzOV72McXbajxxOqbpf0G4hCCF8hwuOf2mdwQXEnHqimT5UmznSo/zTUBvZtzMxaR3fjxMRPFZ3tg==" saltValue="cnO79VI3UGgHtif8551MQ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ALCALA LA REAL</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53</v>
      </c>
      <c r="C12" s="434">
        <f>IF(ISNUMBER(Datos!Q12),Datos!Q12," - ")</f>
        <v>19</v>
      </c>
      <c r="D12" s="408">
        <f>IF(ISNUMBER(Datos!R12),Datos!R12," - ")</f>
        <v>1227</v>
      </c>
    </row>
    <row r="13" spans="1:4" ht="14.25" thickTop="1" thickBot="1">
      <c r="A13" s="848" t="str">
        <f>Datos!A13</f>
        <v>TOTAL</v>
      </c>
      <c r="B13" s="849">
        <f>SUBTOTAL(9,B9:B12)</f>
        <v>53</v>
      </c>
      <c r="C13" s="853">
        <f>SUBTOTAL(9,C9:C12)</f>
        <v>21</v>
      </c>
      <c r="D13" s="851">
        <f>SUBTOTAL(9,D9:D12)</f>
        <v>1234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8</v>
      </c>
      <c r="D16" s="408">
        <f>IF(ISNUMBER(Datos!R16),Datos!R16," - ")</f>
        <v>100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12</v>
      </c>
      <c r="C18" s="853">
        <f>SUBTOTAL(9,C15:C17)</f>
        <v>8</v>
      </c>
      <c r="D18" s="851">
        <f>SUBTOTAL(9,D15:D17)</f>
        <v>100</v>
      </c>
    </row>
    <row r="19" spans="1:4" ht="16.5" customHeight="1" thickTop="1" thickBot="1">
      <c r="A19" s="793" t="str">
        <f>Datos!A19</f>
        <v>TOTAL JURISDICCIONES</v>
      </c>
      <c r="B19" s="798">
        <f>SUBTOTAL(9,B8:B18)</f>
        <v>65</v>
      </c>
      <c r="C19" s="799">
        <f>SUBTOTAL(9,C8:C18)</f>
        <v>29</v>
      </c>
      <c r="D19" s="800">
        <f>SUBTOTAL(9,D8:D18)</f>
        <v>1334</v>
      </c>
    </row>
    <row r="20" spans="1:4" ht="7.5" customHeight="1"/>
    <row r="21" spans="1:4" ht="6" customHeight="1"/>
    <row r="22" spans="1:4">
      <c r="A22" s="391" t="str">
        <f>Criterios!A4</f>
        <v>Fecha Informe: 03 jun. 2025</v>
      </c>
    </row>
    <row r="27" spans="1:4">
      <c r="A27" s="414"/>
    </row>
  </sheetData>
  <sheetProtection algorithmName="SHA-512" hashValue="INFynPOsr4uDXX/6LDnyoc0qHRnhssVH6NKPAdKs2pm6AJMa/CXYTnVKcB9zc3rZF4pfZcSHNXuQdUyqR+jkDA==" saltValue="WnkuAyH27rihk3jjrenc5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ALCALA LA REAL</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0.45714285714285713</v>
      </c>
      <c r="C10" s="456">
        <f>IF(ISNUMBER((Datos!J10-Datos!T10)/Datos!T10),(Datos!J10-Datos!T10)/Datos!T10," - ")</f>
        <v>-0.77777777777777779</v>
      </c>
      <c r="D10" s="456" t="str">
        <f>IF(ISNUMBER((Datos!K10-Datos!U10)/Datos!U10),(Datos!K10-Datos!U10)/Datos!U10," - ")</f>
        <v xml:space="preserve"> - </v>
      </c>
      <c r="E10" s="456">
        <f>IF(ISNUMBER((Datos!L10-Datos!V10)/Datos!V10),(Datos!L10-Datos!V10)/Datos!V10," - ")</f>
        <v>0.13636363636363635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-1.1904761904761906E-3</v>
      </c>
      <c r="C12" s="456">
        <f>IF(ISNUMBER(
   IF(J_V="SI",(Datos!J12-Datos!T12)/Datos!T12,(Datos!J12+Datos!Z12-(Datos!T12+Datos!AH12))/(Datos!T12+Datos!AH12))
     ),IF(J_V="SI",(Datos!J12-Datos!T12)/Datos!T12,(Datos!J12+Datos!Z12-(Datos!T12+Datos!AH12))/(Datos!T12+Datos!AH12))," - ")</f>
        <v>1.0329670329670331</v>
      </c>
      <c r="D12" s="456">
        <f>IF(ISNUMBER(
   IF(J_V="SI",(Datos!K12-Datos!U12)/Datos!U12,(Datos!K12+Datos!AA12-(Datos!U12+Datos!AI12))/(Datos!U12+Datos!AI12))
     ),IF(J_V="SI",(Datos!K12-Datos!U12)/Datos!U12,(Datos!K12+Datos!AA12-(Datos!U12+Datos!AI12))/(Datos!U12+Datos!AI12))," - ")</f>
        <v>-0.38674033149171272</v>
      </c>
      <c r="E12" s="456">
        <f>IF(ISNUMBER(
   IF(J_V="SI",(Datos!L12-Datos!V12)/Datos!V12,(Datos!L12+Datos!AB12-(Datos!V12+Datos!AJ12))/(Datos!V12+Datos!AJ12))
     ),IF(J_V="SI",(Datos!L12-Datos!V12)/Datos!V12,(Datos!L12+Datos!AB12-(Datos!V12+Datos!AJ12))/(Datos!V12+Datos!AJ12))," - ")</f>
        <v>0.56058588548601862</v>
      </c>
      <c r="F12" s="456">
        <f>IF(ISNUMBER((Datos!M12-Datos!W12)/Datos!W12),(Datos!M12-Datos!W12)/Datos!W12," - ")</f>
        <v>-0.27368421052631581</v>
      </c>
      <c r="G12" s="457">
        <f>IF(ISNUMBER((Datos!N12-Datos!X12)/Datos!X12),(Datos!N12-Datos!X12)/Datos!X12," - ")</f>
        <v>-0.17346938775510204</v>
      </c>
      <c r="H12" s="455">
        <f>IF(ISNUMBER(((NºAsuntos!G12/NºAsuntos!E12)-Datos!BD12)/Datos!BD12),((NºAsuntos!G12/NºAsuntos!E12)-Datos!BD12)/Datos!BD12," - ")</f>
        <v>-0.69834254143646401</v>
      </c>
      <c r="I12" s="456">
        <f>IF(ISNUMBER(((NºAsuntos!I12/NºAsuntos!G12)-Datos!BE12)/Datos!BE12),((NºAsuntos!I12/NºAsuntos!G12)-Datos!BE12)/Datos!BE12," - ")</f>
        <v>1.544739146603328</v>
      </c>
      <c r="J12" s="461">
        <f>IF(ISNUMBER((('Resol  Asuntos'!D12/NºAsuntos!G12)-Datos!BF12)/Datos!BF12),(('Resol  Asuntos'!D12/NºAsuntos!G12)-Datos!BF12)/Datos!BF12," - ")</f>
        <v>0.1480970766685053</v>
      </c>
      <c r="K12" s="462">
        <f>IF(ISNUMBER((((NºAsuntos!C12+NºAsuntos!E12)/NºAsuntos!G12)-Datos!BG12)/Datos!BG12),(((NºAsuntos!C12+NºAsuntos!E12)/NºAsuntos!G12)-Datos!BG12)/Datos!BG12," - ")</f>
        <v>1.0423172498644198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1.7142857142857144E-2</v>
      </c>
      <c r="C13" s="855">
        <f>IF(ISNUMBER(
   IF(J_V="SI",(Datos!J13-Datos!T13)/Datos!T13,(Datos!J13+Datos!Z13-(Datos!T13+Datos!AH13))/(Datos!T13+Datos!AH13))
     ),IF(J_V="SI",(Datos!J13-Datos!T13)/Datos!T13,(Datos!J13+Datos!Z13-(Datos!T13+Datos!AH13))/(Datos!T13+Datos!AH13))," - ")</f>
        <v>0.97517730496453903</v>
      </c>
      <c r="D13" s="855">
        <f>IF(ISNUMBER(
   IF(J_V="SI",(Datos!K13-Datos!U13)/Datos!U13,(Datos!K13+Datos!AA13-(Datos!U13+Datos!AI13))/(Datos!U13+Datos!AI13))
     ),IF(J_V="SI",(Datos!K13-Datos!U13)/Datos!U13,(Datos!K13+Datos!AA13-(Datos!U13+Datos!AI13))/(Datos!U13+Datos!AI13))," - ")</f>
        <v>-0.37845303867403313</v>
      </c>
      <c r="E13" s="855">
        <f>IF(ISNUMBER(
   IF(J_V="SI",(Datos!L13-Datos!V13)/Datos!V13,(Datos!L13+Datos!AB13-(Datos!V13+Datos!AJ13))/(Datos!V13+Datos!AJ13))
     ),IF(J_V="SI",(Datos!L13-Datos!V13)/Datos!V13,(Datos!L13+Datos!AB13-(Datos!V13+Datos!AJ13))/(Datos!V13+Datos!AJ13))," - ")</f>
        <v>0.5371069182389937</v>
      </c>
      <c r="F13" s="856">
        <f>IF(ISNUMBER((Datos!M13-Datos!W13)/Datos!W13),(Datos!M13-Datos!W13)/Datos!W13," - ")</f>
        <v>-0.26315789473684209</v>
      </c>
      <c r="G13" s="857">
        <f>IF(ISNUMBER((Datos!N13-Datos!X13)/Datos!X13),(Datos!N13-Datos!X13)/Datos!X13," - ")</f>
        <v>-0.17346938775510204</v>
      </c>
      <c r="H13" s="857">
        <f>IF(ISNUMBER(((NºAsuntos!G13/NºAsuntos!E13)-Datos!BD13)/Datos!BD13),((NºAsuntos!G13/NºAsuntos!E13)-Datos!BD13)/Datos!BD13," - ")</f>
        <v>-0.68532092801809219</v>
      </c>
      <c r="I13" s="857">
        <f>IF(ISNUMBER(((NºAsuntos!I13/NºAsuntos!G13)-Datos!BE13)/Datos!BE13),((NºAsuntos!I13/NºAsuntos!G13)-Datos!BE13)/Datos!BE13," - ")</f>
        <v>1.4730342417889584</v>
      </c>
      <c r="J13" s="857">
        <f>IF(ISNUMBER((('Resol  Asuntos'!D13/NºAsuntos!G13)-Datos!BF13)/Datos!BF13),(('Resol  Asuntos'!D13/NºAsuntos!G13)-Datos!BF13)/Datos!BF13," - ")</f>
        <v>0.14920634920634934</v>
      </c>
      <c r="K13" s="857">
        <f>IF(ISNUMBER((((NºAsuntos!C13+NºAsuntos!E13)/NºAsuntos!G13)-Datos!BG13)/Datos!BG13),(((NºAsuntos!C13+NºAsuntos!E13)/NºAsuntos!G13)-Datos!BG13)/Datos!BG13," - ")</f>
        <v>1.0121540382214538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-0.22403733955659277</v>
      </c>
      <c r="C16" s="456">
        <f>IF(ISNUMBER(
   IF(D_I="SI",(Datos!J16-Datos!T16)/Datos!T16,(Datos!J16+Datos!AD16-(Datos!T16+Datos!AL16))/(Datos!T16+Datos!AL16))
     ),IF(D_I="SI",(Datos!J16-Datos!T16)/Datos!T16,(Datos!J16+Datos!AD16-(Datos!T16+Datos!AL16))/(Datos!T16+Datos!AL16))," - ")</f>
        <v>0.14046121593291405</v>
      </c>
      <c r="D16" s="456">
        <f>IF(ISNUMBER(
   IF(D_I="SI",(Datos!K16-Datos!U16)/Datos!U16,(Datos!K16+Datos!AE16-(Datos!U16+Datos!AM16))/(Datos!U16+Datos!AM16))
     ),IF(D_I="SI",(Datos!K16-Datos!U16)/Datos!U16,(Datos!K16+Datos!AE16-(Datos!U16+Datos!AM16))/(Datos!U16+Datos!AM16))," - ")</f>
        <v>0.19161676646706588</v>
      </c>
      <c r="E16" s="456">
        <f>IF(ISNUMBER(
   IF(D_I="SI",(Datos!L16-Datos!V16)/Datos!V16,(Datos!L16+Datos!AF16-(Datos!V16+Datos!AN16))/(Datos!V16+Datos!AN16))
     ),IF(D_I="SI",(Datos!L16-Datos!V16)/Datos!V16,(Datos!L16+Datos!AF16-(Datos!V16+Datos!AN16))/(Datos!V16+Datos!AN16))," - ")</f>
        <v>-0.26530612244897961</v>
      </c>
      <c r="F16" s="456">
        <f>IF(ISNUMBER((Datos!M16-Datos!W16)/Datos!W16),(Datos!M16-Datos!W16)/Datos!W16," - ")</f>
        <v>-0.23287671232876711</v>
      </c>
      <c r="G16" s="457">
        <f>IF(ISNUMBER((Datos!N16-Datos!X16)/Datos!X16),(Datos!N16-Datos!X16)/Datos!X16," - ")</f>
        <v>0.37570621468926552</v>
      </c>
      <c r="H16" s="455">
        <f>IF(ISNUMBER(((NºAsuntos!G16/NºAsuntos!E16)-Datos!BD16)/Datos!BD16),((NºAsuntos!G16/NºAsuntos!E16)-Datos!BD16)/Datos!BD16," - ")</f>
        <v>4.4855142655864738E-2</v>
      </c>
      <c r="I16" s="456">
        <f>IF(ISNUMBER(((NºAsuntos!I16/NºAsuntos!G16)-Datos!BE16)/Datos!BE16),((NºAsuntos!I16/NºAsuntos!G16)-Datos!BE16)/Datos!BE16," - ")</f>
        <v>-0.38344785150241001</v>
      </c>
      <c r="J16" s="461">
        <f>IF(ISNUMBER((('Resol  Asuntos'!D16/NºAsuntos!G16)-Datos!BF16)/Datos!BF16),(('Resol  Asuntos'!D16/NºAsuntos!G16)-Datos!BF16)/Datos!BF16," - ")</f>
        <v>-0.35623322089901566</v>
      </c>
      <c r="K16" s="462">
        <f>IF(ISNUMBER((((NºAsuntos!C16+NºAsuntos!E16)/NºAsuntos!G16)-Datos!BG16)/Datos!BG16),(((NºAsuntos!C16+NºAsuntos!E16)/NºAsuntos!G16)-Datos!BG16)/Datos!BG16," - ")</f>
        <v>-0.23943932556334904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-0.19642857142857142</v>
      </c>
      <c r="C17" s="456">
        <f>IF(ISNUMBER(
   IF(D_I="SI",(Datos!J17-Datos!T17)/Datos!T17,(Datos!J17+Datos!AD17-(Datos!T17+Datos!AL17))/(Datos!T17+Datos!AL17))
     ),IF(D_I="SI",(Datos!J17-Datos!T17)/Datos!T17,(Datos!J17+Datos!AD17-(Datos!T17+Datos!AL17))/(Datos!T17+Datos!AL17))," - ")</f>
        <v>-0.86206896551724133</v>
      </c>
      <c r="D17" s="456">
        <f>IF(ISNUMBER(
   IF(D_I="SI",(Datos!K17-Datos!U17)/Datos!U17,(Datos!K17+Datos!AE17-(Datos!U17+Datos!AM17))/(Datos!U17+Datos!AM17))
     ),IF(D_I="SI",(Datos!K17-Datos!U17)/Datos!U17,(Datos!K17+Datos!AE17-(Datos!U17+Datos!AM17))/(Datos!U17+Datos!AM17))," - ")</f>
        <v>0.37931034482758619</v>
      </c>
      <c r="E17" s="456">
        <f>IF(ISNUMBER(
   IF(D_I="SI",(Datos!L17-Datos!V17)/Datos!V17,(Datos!L17+Datos!AF17-(Datos!V17+Datos!AN17))/(Datos!V17+Datos!AN17))
     ),IF(D_I="SI",(Datos!L17-Datos!V17)/Datos!V17,(Datos!L17+Datos!AF17-(Datos!V17+Datos!AN17))/(Datos!V17+Datos!AN17))," - ")</f>
        <v>-0.8392857142857143</v>
      </c>
      <c r="F17" s="456">
        <f>IF(ISNUMBER((Datos!M17-Datos!W17)/Datos!W17),(Datos!M17-Datos!W17)/Datos!W17," - ")</f>
        <v>-0.94736842105263153</v>
      </c>
      <c r="G17" s="457">
        <f>IF(ISNUMBER((Datos!N17-Datos!X17)/Datos!X17),(Datos!N17-Datos!X17)/Datos!X17," - ")</f>
        <v>2.25</v>
      </c>
      <c r="H17" s="455">
        <f>IF(ISNUMBER(((NºAsuntos!G17/NºAsuntos!E17)-Datos!BD17)/Datos!BD17),((NºAsuntos!G17/NºAsuntos!E17)-Datos!BD17)/Datos!BD17," - ")</f>
        <v>9</v>
      </c>
      <c r="I17" s="456">
        <f>IF(ISNUMBER(((NºAsuntos!I17/NºAsuntos!G17)-Datos!BE17)/Datos!BE17),((NºAsuntos!I17/NºAsuntos!G17)-Datos!BE17)/Datos!BE17," - ")</f>
        <v>-0.88348214285714277</v>
      </c>
      <c r="J17" s="461">
        <f>IF(ISNUMBER((('Resol  Asuntos'!D17/NºAsuntos!G17)-Datos!BF17)/Datos!BF17),(('Resol  Asuntos'!D17/NºAsuntos!G17)-Datos!BF17)/Datos!BF17," - ")</f>
        <v>-0.96184210526315783</v>
      </c>
      <c r="K17" s="462">
        <f>IF(ISNUMBER((((NºAsuntos!C17+NºAsuntos!E17)/NºAsuntos!G17)-Datos!BG17)/Datos!BG17),(((NºAsuntos!C17+NºAsuntos!E17)/NºAsuntos!G17)-Datos!BG17)/Datos!BG17," - ")</f>
        <v>-0.58205882352941174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-0.22234392113910187</v>
      </c>
      <c r="C18" s="855">
        <f>IF(ISNUMBER(
   IF(Criterios!B14="SI",(Datos!J18-Datos!T18)/Datos!T18,(Datos!J18+Datos!AD18-(Datos!T18+Datos!AL18))/(Datos!T18+Datos!AL18))
     ),IF(Criterios!B14="SI",(Datos!J18-Datos!T18)/Datos!T18,(Datos!J18+Datos!AD18-(Datos!T18+Datos!AL18))/(Datos!T18+Datos!AL18))," - ")</f>
        <v>8.3003952569169967E-2</v>
      </c>
      <c r="D18" s="855">
        <f>IF(ISNUMBER(
   IF(Criterios!B14="SI",(Datos!K18-Datos!U18)/Datos!U18,(Datos!K18+Datos!AE18-(Datos!U18+Datos!AM18))/(Datos!U18+Datos!AM18))
     ),IF(Criterios!B14="SI",(Datos!K18-Datos!U18)/Datos!U18,(Datos!K18+Datos!AE18-(Datos!U18+Datos!AM18))/(Datos!U18+Datos!AM18))," - ")</f>
        <v>0.2018867924528302</v>
      </c>
      <c r="E18" s="855">
        <f>IF(ISNUMBER(
   IF(Criterios!B14="SI",(Datos!L18-Datos!V18)/Datos!V18,(Datos!L18+Datos!AF18-(Datos!V18+Datos!AN18))/(Datos!V18+Datos!AN18))
     ),IF(Criterios!B14="SI",(Datos!L18-Datos!V18)/Datos!V18,(Datos!L18+Datos!AF18-(Datos!V18+Datos!AN18))/(Datos!V18+Datos!AN18))," - ")</f>
        <v>-0.30146231721034872</v>
      </c>
      <c r="F18" s="856">
        <f>IF(ISNUMBER((Datos!M18-Datos!W18)/Datos!W18),(Datos!M18-Datos!W18)/Datos!W18," - ")</f>
        <v>-0.38043478260869568</v>
      </c>
      <c r="G18" s="857">
        <f>IF(ISNUMBER((Datos!N18-Datos!X18)/Datos!X18),(Datos!N18-Datos!X18)/Datos!X18," - ")</f>
        <v>0.43715846994535518</v>
      </c>
      <c r="H18" s="857">
        <f>IF(ISNUMBER(((NºAsuntos!G18/NºAsuntos!E18)-Datos!BD18)/Datos!BD18),((NºAsuntos!G18/NºAsuntos!E18)-Datos!BD18)/Datos!BD18," - ")</f>
        <v>0.10977138135243095</v>
      </c>
      <c r="I18" s="857">
        <f>IF(ISNUMBER(((NºAsuntos!I18/NºAsuntos!G18)-Datos!BE18)/Datos!BE18),((NºAsuntos!I18/NºAsuntos!G18)-Datos!BE18)/Datos!BE18," - ")</f>
        <v>-0.41879910223153033</v>
      </c>
      <c r="J18" s="857">
        <f>IF(ISNUMBER((('Resol  Asuntos'!D18/NºAsuntos!G18)-Datos!BF18)/Datos!BF18),(('Resol  Asuntos'!D18/NºAsuntos!G18)-Datos!BF18)/Datos!BF18," - ")</f>
        <v>-0.48450617705276083</v>
      </c>
      <c r="K18" s="857">
        <f>IF(ISNUMBER((((NºAsuntos!C18+NºAsuntos!E18)/NºAsuntos!G18)-Datos!BG18)/Datos!BG18),(((NºAsuntos!C18+NºAsuntos!E18)/NºAsuntos!G18)-Datos!BG18)/Datos!BG18," - ")</f>
        <v>-0.26237660456929562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-0.10514541387024609</v>
      </c>
      <c r="C19" s="802">
        <f>IF(ISNUMBER(
   IF(J_V="SI",(Datos!J19-Datos!T19)/Datos!T19,(Datos!J19+Datos!Z19-(Datos!T19+Datos!AH19))/(Datos!T19+Datos!AH19))
     ),IF(J_V="SI",(Datos!J19-Datos!T19)/Datos!T19,(Datos!J19+Datos!Z19-(Datos!T19+Datos!AH19))/(Datos!T19+Datos!AH19))," - ")</f>
        <v>0.40228426395939088</v>
      </c>
      <c r="D19" s="802">
        <f>IF(ISNUMBER(
   IF(J_V="SI",(Datos!K19-Datos!U19)/Datos!U19,(Datos!K19+Datos!AA19-(Datos!U19+Datos!AI19))/(Datos!U19+Datos!AI19))
     ),IF(J_V="SI",(Datos!K19-Datos!U19)/Datos!U19,(Datos!K19+Datos!AA19-(Datos!U19+Datos!AI19))/(Datos!U19+Datos!AI19))," - ")</f>
        <v>-3.3632286995515695E-2</v>
      </c>
      <c r="E19" s="802">
        <f>IF(ISNUMBER(
   IF(J_V="SI",(Datos!L19-Datos!V19)/Datos!V19,(Datos!L19+Datos!AB19-(Datos!V19+Datos!AJ19))/(Datos!V19+Datos!AJ19))
     ),IF(J_V="SI",(Datos!L19-Datos!V19)/Datos!V19,(Datos!L19+Datos!AB19-(Datos!V19+Datos!AJ19))/(Datos!V19+Datos!AJ19))," - ")</f>
        <v>9.4418052256532062E-2</v>
      </c>
      <c r="F19" s="803">
        <f>IF(ISNUMBER((Datos!M19-Datos!W19)/Datos!W19),(Datos!M19-Datos!W19)/Datos!W19," - ")</f>
        <v>-0.32085561497326204</v>
      </c>
      <c r="G19" s="804">
        <f>IF(ISNUMBER((Datos!N19-Datos!X19)/Datos!X19),(Datos!N19-Datos!X19)/Datos!X19," - ")</f>
        <v>0.30818965517241381</v>
      </c>
      <c r="H19" s="805">
        <f>IF(ISNUMBER((Tasas!B19-Datos!BD19)/Datos!BD19),(Tasas!B19-Datos!BD19)/Datos!BD19," - ")</f>
        <v>-0.31086175760404194</v>
      </c>
      <c r="I19" s="806">
        <f>IF(ISNUMBER((Tasas!C19-Datos!BE19)/Datos!BE19),(Tasas!C19-Datos!BE19)/Datos!BE19," - ")</f>
        <v>0.13250684757868514</v>
      </c>
      <c r="J19" s="807">
        <f>IF(ISNUMBER((Tasas!D19-Datos!BF19)/Datos!BF19),(Tasas!D19-Datos!BF19)/Datos!BF19," - ")</f>
        <v>-0.30831603370374899</v>
      </c>
      <c r="K19" s="807">
        <f>IF(ISNUMBER((Tasas!E19-Datos!BG19)/Datos!BG19),(Tasas!E19-Datos!BG19)/Datos!BG19," - ")</f>
        <v>8.6623265264947888E-2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hw0wkTbYAkyRDBGMbkjbNW8exUM54IGNCcPF917VV+Ay17RfcADT27W32w2s00881+Nvu+gqb5nXphTzpx4zQ==" saltValue="xOUJMKzOiVy1VO21iCy4d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ALCALA LA REAL</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16.666666666666668</v>
      </c>
      <c r="D10" s="444">
        <f>IF(ISNUMBER('Resol  Asuntos'!D10/NºAsuntos!G10),'Resol  Asuntos'!D10/NºAsuntos!G10," - ")</f>
        <v>0.33333333333333331</v>
      </c>
      <c r="E10" s="445">
        <f>IF(ISNUMBER((NºAsuntos!C10+NºAsuntos!E10)/NºAsuntos!G10),(NºAsuntos!C10+NºAsuntos!E10)/NºAsuntos!G10," - ")</f>
        <v>17.666666666666668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v>
      </c>
      <c r="C12" s="443">
        <f>IF(ISNUMBER(NºAsuntos!I12/NºAsuntos!G12),NºAsuntos!I12/NºAsuntos!G12," - ")</f>
        <v>5.2792792792792795</v>
      </c>
      <c r="D12" s="444">
        <f>IF(ISNUMBER('Resol  Asuntos'!D12/NºAsuntos!G12),'Resol  Asuntos'!D12/NºAsuntos!G12," - ")</f>
        <v>0.3108108108108108</v>
      </c>
      <c r="E12" s="445">
        <f>IF(ISNUMBER((NºAsuntos!C12+NºAsuntos!E12)/NºAsuntos!G12),(NºAsuntos!C12+NºAsuntos!E12)/NºAsuntos!G12," - ")</f>
        <v>6.2792792792792795</v>
      </c>
      <c r="G12" s="463"/>
    </row>
    <row r="13" spans="1:7" ht="14.25" thickTop="1" thickBot="1">
      <c r="A13" s="848" t="str">
        <f>Datos!A13</f>
        <v>TOTAL</v>
      </c>
      <c r="B13" s="858">
        <f>IF(ISNUMBER(NºAsuntos!G13/NºAsuntos!E13),NºAsuntos!G13/NºAsuntos!E13," - ")</f>
        <v>0.40394973070017953</v>
      </c>
      <c r="C13" s="859">
        <f>IF(ISNUMBER(NºAsuntos!I13/NºAsuntos!G13),NºAsuntos!I13/NºAsuntos!G13," - ")</f>
        <v>5.431111111111111</v>
      </c>
      <c r="D13" s="860">
        <f>IF(ISNUMBER('Resol  Asuntos'!D13/NºAsuntos!G13),'Resol  Asuntos'!D13/NºAsuntos!G13," - ")</f>
        <v>0.31111111111111112</v>
      </c>
      <c r="E13" s="861">
        <f>IF(ISNUMBER((NºAsuntos!C13+NºAsuntos!E13)/NºAsuntos!G13),(NºAsuntos!C13+NºAsuntos!E13)/NºAsuntos!G13," - ")</f>
        <v>6.431111111111111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1.0974264705882353</v>
      </c>
      <c r="C16" s="443">
        <f>IF(ISNUMBER(NºAsuntos!I16/NºAsuntos!G16),NºAsuntos!I16/NºAsuntos!G16," - ")</f>
        <v>1.0251256281407035</v>
      </c>
      <c r="D16" s="444">
        <f>IF(ISNUMBER('Resol  Asuntos'!D16/NºAsuntos!G16),'Resol  Asuntos'!D16/NºAsuntos!G16," - ")</f>
        <v>9.380234505862646E-2</v>
      </c>
      <c r="E16" s="445">
        <f>IF(ISNUMBER((NºAsuntos!C16+NºAsuntos!E16)/NºAsuntos!G16),(NºAsuntos!C16+NºAsuntos!E16)/NºAsuntos!G16," - ")</f>
        <v>2.0251256281407035</v>
      </c>
      <c r="G16" s="463"/>
    </row>
    <row r="17" spans="1:7" ht="13.5" thickBot="1">
      <c r="A17" s="402" t="str">
        <f>Datos!A17</f>
        <v>Jdos. Violencia contra la mujer</v>
      </c>
      <c r="B17" s="442">
        <f>IF(ISNUMBER(NºAsuntos!G17/NºAsuntos!E17),NºAsuntos!G17/NºAsuntos!E17," - ")</f>
        <v>10</v>
      </c>
      <c r="C17" s="443">
        <f>IF(ISNUMBER(NºAsuntos!I17/NºAsuntos!G17),NºAsuntos!I17/NºAsuntos!G17," - ")</f>
        <v>0.22500000000000001</v>
      </c>
      <c r="D17" s="444">
        <f>IF(ISNUMBER('Resol  Asuntos'!D17/NºAsuntos!G17),'Resol  Asuntos'!D17/NºAsuntos!G17," - ")</f>
        <v>2.5000000000000001E-2</v>
      </c>
      <c r="E17" s="445">
        <f>IF(ISNUMBER((NºAsuntos!C17+NºAsuntos!E17)/NºAsuntos!G17),(NºAsuntos!C17+NºAsuntos!E17)/NºAsuntos!G17," - ")</f>
        <v>1.2250000000000001</v>
      </c>
      <c r="G17" s="463"/>
    </row>
    <row r="18" spans="1:7" ht="14.25" thickTop="1" thickBot="1">
      <c r="A18" s="848" t="str">
        <f>Datos!A18</f>
        <v>TOTAL</v>
      </c>
      <c r="B18" s="858">
        <f>IF(ISNUMBER(NºAsuntos!G18/NºAsuntos!E18),NºAsuntos!G18/NºAsuntos!E18," - ")</f>
        <v>1.1624087591240877</v>
      </c>
      <c r="C18" s="859">
        <f>IF(ISNUMBER(NºAsuntos!I18/NºAsuntos!G18),NºAsuntos!I18/NºAsuntos!G18," - ")</f>
        <v>0.97488226059654626</v>
      </c>
      <c r="D18" s="862">
        <f>IF(ISNUMBER('Resol  Asuntos'!D18/NºAsuntos!G18),'Resol  Asuntos'!D18/NºAsuntos!G18," - ")</f>
        <v>8.9481946624803771E-2</v>
      </c>
      <c r="E18" s="861">
        <f>IF(ISNUMBER((NºAsuntos!C18+NºAsuntos!E18)/NºAsuntos!G18),(NºAsuntos!C18+NºAsuntos!E18)/NºAsuntos!G18," - ")</f>
        <v>1.9748822605965464</v>
      </c>
      <c r="G18" s="463"/>
    </row>
    <row r="19" spans="1:7" ht="15.75" customHeight="1" thickTop="1" thickBot="1">
      <c r="A19" s="793" t="str">
        <f>Datos!A19</f>
        <v>TOTAL JURISDICCIONES</v>
      </c>
      <c r="B19" s="808">
        <f>IF(ISNUMBER(NºAsuntos!G19/NºAsuntos!E19),NºAsuntos!G19/NºAsuntos!E19," - ")</f>
        <v>0.78009049773755657</v>
      </c>
      <c r="C19" s="809">
        <f>IF(ISNUMBER(NºAsuntos!I19/NºAsuntos!G19),NºAsuntos!I19/NºAsuntos!G19," - ")</f>
        <v>2.1380510440835265</v>
      </c>
      <c r="D19" s="810">
        <f>IF(ISNUMBER('Resol  Asuntos'!D19/NºAsuntos!G19),'Resol  Asuntos'!D19/NºAsuntos!G19," - ")</f>
        <v>0.14733178654292342</v>
      </c>
      <c r="E19" s="811">
        <f>IF(ISNUMBER((NºAsuntos!C19+NºAsuntos!E19)/NºAsuntos!G19),(NºAsuntos!C19+NºAsuntos!E19)/NºAsuntos!G19," - ")</f>
        <v>3.1380510440835265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5rd8My9RDneNpFeAj7NpQB+2LZLqiWHoFWpSRnorJsNyCVcit+geASnvliJd9njPBYt3Zj72yDe8vXGnmqS7g==" saltValue="nYzVt2r1QyGdeT19n2Ny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ALCALA LA 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51</v>
      </c>
      <c r="G10" s="333">
        <f>IF(ISNUMBER(Datos!I10),Datos!I10," - ")</f>
        <v>51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2</v>
      </c>
      <c r="Y10" s="334">
        <f t="shared" ref="Y10:Y12" si="0">SUM(W10:X10)</f>
        <v>5</v>
      </c>
      <c r="Z10" s="335" t="str">
        <f>IF(ISNUMBER(Datos!CC10),Datos!CC10," - ")</f>
        <v xml:space="preserve"> - </v>
      </c>
      <c r="AA10" s="332">
        <f>IF(ISNUMBER(Datos!L10),Datos!L10,"-")</f>
        <v>50</v>
      </c>
      <c r="AB10" s="334">
        <f>IF(ISNUMBER(Datos!R10),Datos!R10," - ")</f>
        <v>7</v>
      </c>
      <c r="AC10" s="334">
        <f t="shared" ref="AC10:AC12" si="1">IF(ISNUMBER(AA10+AB10),AA10+AB10," - ")</f>
        <v>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50.000000000000007</v>
      </c>
      <c r="AN10" s="244">
        <f>IF(ISNUMBER('Resol  Asuntos'!D10/NºAsuntos!G10),'Resol  Asuntos'!D10/NºAsuntos!G10," - ")</f>
        <v>0.33333333333333331</v>
      </c>
      <c r="AO10" s="245">
        <f>IF(ISNUMBER((NºAsuntos!C10+NºAsuntos!E10)/NºAsuntos!G10),(NºAsuntos!C10+NºAsuntos!E10)/NºAsuntos!G10," - ")</f>
        <v>17.666666666666668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69</v>
      </c>
      <c r="AJ12" s="229" t="str">
        <f>IF(ISNUMBER(Datos!BW12),Datos!BW12," - ")</f>
        <v xml:space="preserve"> - </v>
      </c>
      <c r="AK12" s="228" t="str">
        <f>IF(ISNUMBER(Datos!BX12),Datos!BX12," - ")</f>
        <v xml:space="preserve"> - </v>
      </c>
      <c r="AL12" s="243">
        <f>IF(ISNUMBER(NºAsuntos!G12/NºAsuntos!E12),NºAsuntos!G12/NºAsuntos!E12," - ")</f>
        <v>0.4</v>
      </c>
      <c r="AM12" s="260">
        <f>IF(ISNUMBER(((NºAsuntos!I12/NºAsuntos!G12)*11)/factor_trimestre),((NºAsuntos!I12/NºAsuntos!G12)*11)/factor_trimestre," - ")</f>
        <v>15.837837837837839</v>
      </c>
      <c r="AN12" s="244">
        <f>IF(ISNUMBER('Resol  Asuntos'!D12/NºAsuntos!G12),'Resol  Asuntos'!D12/NºAsuntos!G12," - ")</f>
        <v>0.3108108108108108</v>
      </c>
      <c r="AO12" s="245">
        <f>IF(ISNUMBER((NºAsuntos!C12+NºAsuntos!E12)/NºAsuntos!G12),(NºAsuntos!C12+NºAsuntos!E12)/NºAsuntos!G12," - ")</f>
        <v>6.2792792792792795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51</v>
      </c>
      <c r="G13" s="866">
        <f t="shared" si="3"/>
        <v>51</v>
      </c>
      <c r="H13" s="865">
        <f t="shared" si="3"/>
        <v>0</v>
      </c>
      <c r="I13" s="867">
        <f t="shared" si="3"/>
        <v>0</v>
      </c>
      <c r="J13" s="867">
        <f t="shared" si="3"/>
        <v>0</v>
      </c>
      <c r="K13" s="867">
        <f t="shared" si="3"/>
        <v>0</v>
      </c>
      <c r="L13" s="867">
        <f t="shared" si="3"/>
        <v>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21</v>
      </c>
      <c r="Y13" s="868">
        <f t="shared" si="4"/>
        <v>24</v>
      </c>
      <c r="Z13" s="868">
        <f t="shared" si="4"/>
        <v>0</v>
      </c>
      <c r="AA13" s="868">
        <f t="shared" si="4"/>
        <v>50</v>
      </c>
      <c r="AB13" s="868">
        <f t="shared" si="4"/>
        <v>1234</v>
      </c>
      <c r="AC13" s="868">
        <f t="shared" si="4"/>
        <v>57</v>
      </c>
      <c r="AD13" s="868">
        <f t="shared" si="4"/>
        <v>0</v>
      </c>
      <c r="AE13" s="872">
        <f t="shared" si="4"/>
        <v>0</v>
      </c>
      <c r="AF13" s="865">
        <f t="shared" si="4"/>
        <v>0</v>
      </c>
      <c r="AG13" s="873">
        <f t="shared" si="4"/>
        <v>0</v>
      </c>
      <c r="AH13" s="870">
        <f t="shared" si="4"/>
        <v>0</v>
      </c>
      <c r="AI13" s="865">
        <f t="shared" si="4"/>
        <v>70</v>
      </c>
      <c r="AJ13" s="867">
        <f t="shared" si="4"/>
        <v>0</v>
      </c>
      <c r="AK13" s="870">
        <f>SUBTOTAL(9,AK9:AK12)</f>
        <v>0</v>
      </c>
      <c r="AL13" s="874">
        <f>IF(ISNUMBER(NºAsuntos!G13/NºAsuntos!E13),NºAsuntos!G13/NºAsuntos!E13," - ")</f>
        <v>0.40394973070017953</v>
      </c>
      <c r="AM13" s="874">
        <f>IF(ISNUMBER(((NºAsuntos!I13/NºAsuntos!G13)*11)/factor_trimestre),((NºAsuntos!I13/NºAsuntos!G13)*11)/factor_trimestre," - ")</f>
        <v>16.293333333333333</v>
      </c>
      <c r="AN13" s="875">
        <f>IF(ISNUMBER('Resol  Asuntos'!D13/NºAsuntos!G13),'Resol  Asuntos'!D13/NºAsuntos!G13," - ")</f>
        <v>0.31111111111111112</v>
      </c>
      <c r="AO13" s="876">
        <f>IF(ISNUMBER((NºAsuntos!C13+NºAsuntos!E13)/NºAsuntos!G13),(NºAsuntos!C13+NºAsuntos!E13)/NºAsuntos!G13," - ")</f>
        <v>6.431111111111111</v>
      </c>
      <c r="AP13" s="877" t="str">
        <f t="shared" si="2"/>
        <v xml:space="preserve"> - </v>
      </c>
      <c r="AQ13" s="877">
        <f>IF(ISNUMBER((H13-W13+K13)/(F13)),(H13-W13+K13)/(F13)," - ")</f>
        <v>-5.8823529411764705E-2</v>
      </c>
      <c r="AR13" s="878">
        <f>IF(ISNUMBER((Datos!P13-Datos!Q13)/(Datos!R13-Datos!P13+Datos!Q13)),(Datos!P13-Datos!Q13)/(Datos!R13-Datos!P13+Datos!Q13)," - ")</f>
        <v>2.6622296173044926E-2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665</v>
      </c>
      <c r="G16" s="333">
        <f>IF(ISNUMBER(IF(D_I="SI",Datos!I16,Datos!I16+Datos!AC16)),IF(D_I="SI",Datos!I16,Datos!I16+Datos!AC16)," - ")</f>
        <v>665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597</v>
      </c>
      <c r="X16" s="226">
        <f>IF(ISNUMBER(Datos!Q16),Datos!Q16," - ")</f>
        <v>8</v>
      </c>
      <c r="Y16" s="334">
        <f t="shared" ref="Y16:Y17" si="7">SUM(W16:X16)</f>
        <v>605</v>
      </c>
      <c r="Z16" s="335" t="str">
        <f>IF(ISNUMBER(Datos!CC16),Datos!CC16," - ")</f>
        <v xml:space="preserve"> - </v>
      </c>
      <c r="AA16" s="332">
        <f>IF(ISNUMBER(IF(D_I="SI",Datos!L16,Datos!L16+Datos!AF16)),IF(D_I="SI",Datos!L16,Datos!L16+Datos!AF16)," - ")</f>
        <v>612</v>
      </c>
      <c r="AB16" s="334">
        <f>IF(ISNUMBER(Datos!R16),Datos!R16," - ")</f>
        <v>100</v>
      </c>
      <c r="AC16" s="334">
        <f t="shared" si="6"/>
        <v>712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56</v>
      </c>
      <c r="AJ16" s="231" t="str">
        <f>IF(ISNUMBER(Datos!BW16),Datos!BW16," - ")</f>
        <v xml:space="preserve"> - </v>
      </c>
      <c r="AK16" s="232" t="str">
        <f>IF(ISNUMBER(Datos!BX16),Datos!BX16," - ")</f>
        <v xml:space="preserve"> - </v>
      </c>
      <c r="AL16" s="243">
        <f>IF(ISNUMBER(NºAsuntos!G16/NºAsuntos!E16),NºAsuntos!G16/NºAsuntos!E16," - ")</f>
        <v>1.0974264705882353</v>
      </c>
      <c r="AM16" s="260">
        <f>IF(ISNUMBER(((NºAsuntos!I16/NºAsuntos!G16)*11)/factor_trimestre),((NºAsuntos!I16/NºAsuntos!G16)*11)/factor_trimestre," - ")</f>
        <v>3.075376884422111</v>
      </c>
      <c r="AN16" s="244">
        <f>IF(ISNUMBER('Resol  Asuntos'!D16/NºAsuntos!G16),'Resol  Asuntos'!D16/NºAsuntos!G16," - ")</f>
        <v>9.380234505862646E-2</v>
      </c>
      <c r="AO16" s="245">
        <f>IF(ISNUMBER((NºAsuntos!C16+NºAsuntos!E16)/NºAsuntos!G16),(NºAsuntos!C16+NºAsuntos!E16)/NºAsuntos!G16," - ")</f>
        <v>2.0251256281407035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40</v>
      </c>
      <c r="X17" s="226">
        <f>IF(ISNUMBER(Datos!Q17),Datos!Q17," - ")</f>
        <v>0</v>
      </c>
      <c r="Y17" s="334">
        <f t="shared" si="7"/>
        <v>40</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10</v>
      </c>
      <c r="AM17" s="260">
        <f>IF(ISNUMBER(((NºAsuntos!I17/NºAsuntos!G17)*11)/factor_trimestre),((NºAsuntos!I17/NºAsuntos!G17)*11)/factor_trimestre," - ")</f>
        <v>0.67500000000000004</v>
      </c>
      <c r="AN17" s="244">
        <f>IF(ISNUMBER('Resol  Asuntos'!D17/NºAsuntos!G17),'Resol  Asuntos'!D17/NºAsuntos!G17," - ")</f>
        <v>2.5000000000000001E-2</v>
      </c>
      <c r="AO17" s="245">
        <f>IF(ISNUMBER((NºAsuntos!C17+NºAsuntos!E17)/NºAsuntos!G17),(NºAsuntos!C17+NºAsuntos!E17)/NºAsuntos!G17," - ")</f>
        <v>1.2250000000000001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665</v>
      </c>
      <c r="G18" s="866">
        <f>SUBTOTAL(9,G15:G17)</f>
        <v>710</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637</v>
      </c>
      <c r="X18" s="867">
        <f t="shared" si="11"/>
        <v>8</v>
      </c>
      <c r="Y18" s="868">
        <f t="shared" si="11"/>
        <v>645</v>
      </c>
      <c r="Z18" s="868">
        <f t="shared" si="11"/>
        <v>0</v>
      </c>
      <c r="AA18" s="868">
        <f t="shared" si="11"/>
        <v>621</v>
      </c>
      <c r="AB18" s="868">
        <f t="shared" si="11"/>
        <v>100</v>
      </c>
      <c r="AC18" s="868">
        <f t="shared" si="11"/>
        <v>721</v>
      </c>
      <c r="AD18" s="868">
        <f t="shared" si="11"/>
        <v>0</v>
      </c>
      <c r="AE18" s="872">
        <f t="shared" si="11"/>
        <v>0</v>
      </c>
      <c r="AF18" s="865">
        <f t="shared" si="11"/>
        <v>0</v>
      </c>
      <c r="AG18" s="873">
        <f t="shared" si="11"/>
        <v>0</v>
      </c>
      <c r="AH18" s="870">
        <f t="shared" si="11"/>
        <v>0</v>
      </c>
      <c r="AI18" s="865">
        <f t="shared" si="11"/>
        <v>57</v>
      </c>
      <c r="AJ18" s="867">
        <f t="shared" si="11"/>
        <v>0</v>
      </c>
      <c r="AK18" s="870">
        <f t="shared" si="11"/>
        <v>0</v>
      </c>
      <c r="AL18" s="874">
        <f>IF(ISNUMBER(NºAsuntos!G18/NºAsuntos!E18),NºAsuntos!G18/NºAsuntos!E18," - ")</f>
        <v>1.1624087591240877</v>
      </c>
      <c r="AM18" s="874">
        <f>IF(ISNUMBER(((NºAsuntos!I18/NºAsuntos!G18)*11)/factor_trimestre),((NºAsuntos!I18/NºAsuntos!G18)*11)/factor_trimestre," - ")</f>
        <v>2.9246467817896389</v>
      </c>
      <c r="AN18" s="875">
        <f>IF(ISNUMBER('Resol  Asuntos'!D18/NºAsuntos!G18),'Resol  Asuntos'!D18/NºAsuntos!G18," - ")</f>
        <v>8.9481946624803771E-2</v>
      </c>
      <c r="AO18" s="876">
        <f>IF(ISNUMBER((NºAsuntos!C18+NºAsuntos!E18)/NºAsuntos!G18),(NºAsuntos!C18+NºAsuntos!E18)/NºAsuntos!G18," - ")</f>
        <v>1.9748822605965464</v>
      </c>
      <c r="AP18" s="877" t="str">
        <f t="shared" si="2"/>
        <v xml:space="preserve"> - </v>
      </c>
      <c r="AQ18" s="877">
        <f>IF(ISNUMBER((H18-W18+K18)/(F18)),(H18-W18+K18)/(F18)," - ")</f>
        <v>-0.95789473684210524</v>
      </c>
      <c r="AR18" s="878">
        <f>IF(ISNUMBER((Datos!P18-Datos!Q18)/(Datos!R18-Datos!P18+Datos!Q18)),(Datos!P18-Datos!Q18)/(Datos!R18-Datos!P18+Datos!Q18)," - ")</f>
        <v>4.1666666666666664E-2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716</v>
      </c>
      <c r="G19" s="821">
        <f t="shared" si="13"/>
        <v>761</v>
      </c>
      <c r="H19" s="820">
        <f t="shared" si="13"/>
        <v>0</v>
      </c>
      <c r="I19" s="822">
        <f t="shared" si="13"/>
        <v>0</v>
      </c>
      <c r="J19" s="822">
        <f t="shared" si="13"/>
        <v>0</v>
      </c>
      <c r="K19" s="881">
        <f t="shared" si="13"/>
        <v>0</v>
      </c>
      <c r="L19" s="822">
        <f t="shared" si="13"/>
        <v>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640</v>
      </c>
      <c r="X19" s="821">
        <f t="shared" si="14"/>
        <v>29</v>
      </c>
      <c r="Y19" s="828">
        <f t="shared" si="14"/>
        <v>669</v>
      </c>
      <c r="Z19" s="828">
        <f t="shared" si="14"/>
        <v>0</v>
      </c>
      <c r="AA19" s="828">
        <f t="shared" si="14"/>
        <v>671</v>
      </c>
      <c r="AB19" s="828">
        <f t="shared" si="14"/>
        <v>1334</v>
      </c>
      <c r="AC19" s="828">
        <f t="shared" si="14"/>
        <v>778</v>
      </c>
      <c r="AD19" s="828">
        <f t="shared" si="14"/>
        <v>0</v>
      </c>
      <c r="AE19" s="830">
        <f t="shared" si="14"/>
        <v>0</v>
      </c>
      <c r="AF19" s="831">
        <f t="shared" si="14"/>
        <v>0</v>
      </c>
      <c r="AG19" s="832">
        <f t="shared" si="14"/>
        <v>0</v>
      </c>
      <c r="AH19" s="830">
        <f t="shared" si="14"/>
        <v>0</v>
      </c>
      <c r="AI19" s="820">
        <f t="shared" si="14"/>
        <v>127</v>
      </c>
      <c r="AJ19" s="820">
        <f t="shared" si="14"/>
        <v>0</v>
      </c>
      <c r="AK19" s="830">
        <f t="shared" si="14"/>
        <v>0</v>
      </c>
      <c r="AL19" s="884">
        <f>IF(ISNUMBER(NºAsuntos!G19/NºAsuntos!E19),NºAsuntos!G19/NºAsuntos!E19," - ")</f>
        <v>0.78009049773755657</v>
      </c>
      <c r="AM19" s="885">
        <f>IF(ISNUMBER(((NºAsuntos!I19/NºAsuntos!G19)*11)/factor_trimestre),((NºAsuntos!I19/NºAsuntos!G19)*11)/factor_trimestre," - ")</f>
        <v>6.41415313225058</v>
      </c>
      <c r="AN19" s="885">
        <f>IF(ISNUMBER('Resol  Asuntos'!D19/NºAsuntos!G19),'Resol  Asuntos'!D19/NºAsuntos!G19," - ")</f>
        <v>0.14733178654292342</v>
      </c>
      <c r="AO19" s="886">
        <f>IF(ISNUMBER((NºAsuntos!C19+NºAsuntos!E19)/NºAsuntos!G19),(NºAsuntos!C19+NºAsuntos!E19)/NºAsuntos!G19," - ")</f>
        <v>3.1380510440835265</v>
      </c>
      <c r="AP19" s="887" t="str">
        <f t="shared" si="2"/>
        <v xml:space="preserve"> - </v>
      </c>
      <c r="AQ19" s="888">
        <f>IF(OR(ISNUMBER(FIND("01",Criterios!A8,1)),ISNUMBER(FIND("02",Criterios!A8,1)),ISNUMBER(FIND("03",Criterios!A8,1)),ISNUMBER(FIND("04",Criterios!A8,1))),(I19-W19+K19)/(F19-K19),(H19-W19+K19)/(F19-K19))</f>
        <v>-0.8938547486033519</v>
      </c>
      <c r="AR19" s="889">
        <f>IF(ISNUMBER((Datos!P19-Datos!Q19)/(Datos!R19-Datos!P19+Datos!Q19)),(Datos!P19-Datos!Q19)/(Datos!R19-Datos!P19+Datos!Q19)," - ")</f>
        <v>2.7734976887519261E-2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304.39999999999998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354.49306528243022</v>
      </c>
      <c r="G21" s="253">
        <f>IF(ISNUMBER(STDEV(G8:G18)),STDEV(G8:G18),"-")</f>
        <v>350.09113099306018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330.19539669716778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32.54330448289889</v>
      </c>
      <c r="AJ21" s="252">
        <f t="shared" si="18"/>
        <v>0</v>
      </c>
      <c r="AK21" s="254">
        <f t="shared" si="18"/>
        <v>0</v>
      </c>
      <c r="AL21" s="249">
        <f t="shared" si="18"/>
        <v>3.7357215002650466</v>
      </c>
      <c r="AM21" s="250">
        <f t="shared" si="18"/>
        <v>18.549143223802517</v>
      </c>
      <c r="AN21" s="250">
        <f t="shared" si="18"/>
        <v>0.1387790429759887</v>
      </c>
      <c r="AO21" s="251">
        <f t="shared" si="18"/>
        <v>6.1830477412675053</v>
      </c>
      <c r="AP21" s="291" t="str">
        <f t="shared" si="18"/>
        <v>-</v>
      </c>
      <c r="AQ21" s="292">
        <f t="shared" si="18"/>
        <v>0.63573934754357109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unOMU0z9mUjzm+ozv6rNKGv8EUblFdNcIp3vrVimzeA3t5PWA2KCtPSjA37I4ckBMufWuP6eTt92CV7OSLE0AQ==" saltValue="yNUAtxzzgBfFYjrkbeDse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ALCALA LA REAL</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0.45714285714285713</v>
      </c>
      <c r="E10" s="348">
        <f>IF(ISNUMBER((Datos!J10-Datos!T10)/Datos!T10),(Datos!J10-Datos!T10)/Datos!T10," - ")</f>
        <v>-0.77777777777777779</v>
      </c>
      <c r="F10" s="348" t="str">
        <f>IF(ISNUMBER((Datos!K10-Datos!U10)/Datos!U10),(Datos!K10-Datos!U10)/Datos!U10," - ")</f>
        <v xml:space="preserve"> - </v>
      </c>
      <c r="G10" s="349">
        <f>IF(ISNUMBER((Datos!L10-Datos!V10)/Datos!V10),(Datos!L10-Datos!V10)/Datos!V10," - ")</f>
        <v>0.13636363636363635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-0.27368421052631581</v>
      </c>
      <c r="I12" s="350">
        <f>IF(ISNUMBER((Tasas!C12-Datos!BE12)/Datos!BE12),(Tasas!C12-Datos!BE12)/Datos!BE12," - ")</f>
        <v>1.544739146603328</v>
      </c>
      <c r="J12" s="349">
        <f>IF(ISNUMBER((Tasas!D12-Datos!BF12)/Datos!BF12),(Tasas!D12-Datos!BF12)/Datos!BF12," - ")</f>
        <v>0.1480970766685053</v>
      </c>
      <c r="K12" s="351">
        <f>IF(ISNUMBER((Tasas!E12-Datos!BG12)/Datos!BG12),(Tasas!E12-Datos!BG12)/Datos!BG12," - ")</f>
        <v>1.0423172498644198</v>
      </c>
      <c r="M12" t="e">
        <f>IF(Monitorios="SI",Datos!CE12,0)</f>
        <v>#REF!</v>
      </c>
      <c r="N12" t="e">
        <f>IF(Monitorios="SI",Datos!CF12,0)</f>
        <v>#REF!</v>
      </c>
      <c r="O12" t="e">
        <f>IF(Monitorios="SI",Datos!CG12,0)</f>
        <v>#REF!</v>
      </c>
      <c r="P12" t="e">
        <f>IF(Monitorios="SI",Datos!CH12,0)</f>
        <v>#REF!</v>
      </c>
      <c r="Q12">
        <f>IF(J_V="SI",0,Datos!AG12)</f>
        <v>81</v>
      </c>
      <c r="R12">
        <f>IF(J_V="SI",0,Datos!AH12)</f>
        <v>16</v>
      </c>
      <c r="S12">
        <f>IF(J_V="SI",0,Datos!AI12)</f>
        <v>72</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-0.26315789473684209</v>
      </c>
      <c r="I13" s="357">
        <f>IF(ISNUMBER((Tasas!C13-Datos!BE13)/Datos!BE13),(Tasas!C13-Datos!BE13)/Datos!BE13," - ")</f>
        <v>1.4730342417889584</v>
      </c>
      <c r="J13" s="355">
        <f>IF(ISNUMBER((Tasas!D13-Datos!BF13)/Datos!BF13),(Tasas!D13-Datos!BF13)/Datos!BF13," - ")</f>
        <v>0.14920634920634934</v>
      </c>
      <c r="K13" s="358">
        <f>IF(ISNUMBER((Tasas!E13-Datos!BG13)/Datos!BG13),(Tasas!E13-Datos!BG13)/Datos!BG13," - ")</f>
        <v>1.0121540382214538</v>
      </c>
      <c r="M13" t="e">
        <f>IF(Monitorios="SI",Datos!CE13,0)</f>
        <v>#REF!</v>
      </c>
      <c r="N13" t="e">
        <f>IF(Monitorios="SI",Datos!CF13,0)</f>
        <v>#REF!</v>
      </c>
      <c r="O13" t="e">
        <f>IF(Monitorios="SI",Datos!CG13,0)</f>
        <v>#REF!</v>
      </c>
      <c r="P13" t="e">
        <f>IF(Monitorios="SI",Datos!CH13,0)</f>
        <v>#REF!</v>
      </c>
      <c r="Q13">
        <f>IF(J_V="SI",0,Datos!AG13)</f>
        <v>81</v>
      </c>
      <c r="R13">
        <f>IF(J_V="SI",0,Datos!AH13)</f>
        <v>16</v>
      </c>
      <c r="S13">
        <f>IF(J_V="SI",0,Datos!AI13)</f>
        <v>72</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-0.22403733955659277</v>
      </c>
      <c r="E16" s="348">
        <f>IF(ISNUMBER(
   IF(D_I="SI",(Datos!J16-Datos!T16)/Datos!T16,(Datos!J16+Datos!AD16-(Datos!T16+Datos!AL16))/(Datos!T16+Datos!AL16))
     ),IF(D_I="SI",(Datos!J16-Datos!T16)/Datos!T16,(Datos!J16+Datos!AD16-(Datos!T16+Datos!AL16))/(Datos!T16+Datos!AL16))," - ")</f>
        <v>0.14046121593291405</v>
      </c>
      <c r="F16" s="348">
        <f>IF(ISNUMBER(
   IF(D_I="SI",(Datos!K16-Datos!U16)/Datos!U16,(Datos!K16+Datos!AE16-(Datos!U16+Datos!AM16))/(Datos!U16+Datos!AM16))
     ),IF(D_I="SI",(Datos!K16-Datos!U16)/Datos!U16,(Datos!K16+Datos!AE16-(Datos!U16+Datos!AM16))/(Datos!U16+Datos!AM16))," - ")</f>
        <v>0.19161676646706588</v>
      </c>
      <c r="G16" s="349">
        <f>IF(ISNUMBER(
   IF(D_I="SI",(Datos!L16-Datos!V16)/Datos!V16,(Datos!L16+Datos!AF16-(Datos!V16+Datos!AN16))/(Datos!V16+Datos!AN16))
     ),IF(D_I="SI",(Datos!L16-Datos!V16)/Datos!V16,(Datos!L16+Datos!AF16-(Datos!V16+Datos!AN16))/(Datos!V16+Datos!AN16))," - ")</f>
        <v>-0.26530612244897961</v>
      </c>
      <c r="H16" s="230">
        <f>IF(ISNUMBER((Datos!M16-Datos!W16)/Datos!W16),(Datos!M16-Datos!W16)/Datos!W16," - ")</f>
        <v>-0.23287671232876711</v>
      </c>
      <c r="I16" s="350">
        <f>IF(ISNUMBER((Tasas!C16-Datos!BE16)/Datos!BE16),(Tasas!C16-Datos!BE16)/Datos!BE16," - ")</f>
        <v>-0.38344785150241001</v>
      </c>
      <c r="J16" s="349">
        <f>IF(ISNUMBER((Tasas!D16-Datos!BF16)/Datos!BF16),(Tasas!D16-Datos!BF16)/Datos!BF16," - ")</f>
        <v>-0.35623322089901566</v>
      </c>
      <c r="K16" s="351">
        <f>IF(ISNUMBER((Tasas!E16-Datos!BG16)/Datos!BG16),(Tasas!E16-Datos!BG16)/Datos!BG16," - ")</f>
        <v>-0.23943932556334904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-0.19642857142857142</v>
      </c>
      <c r="E17" s="348">
        <f>IF(ISNUMBER(
   IF(D_I="SI",(Datos!J17-Datos!T17)/Datos!T17,(Datos!J17+Datos!AD17-(Datos!T17+Datos!AL17))/(Datos!T17+Datos!AL17))
     ),IF(D_I="SI",(Datos!J17-Datos!T17)/Datos!T17,(Datos!J17+Datos!AD17-(Datos!T17+Datos!AL17))/(Datos!T17+Datos!AL17))," - ")</f>
        <v>-0.86206896551724133</v>
      </c>
      <c r="F17" s="348">
        <f>IF(ISNUMBER(
   IF(D_I="SI",(Datos!K17-Datos!U17)/Datos!U17,(Datos!K17+Datos!AE17-(Datos!U17+Datos!AM17))/(Datos!U17+Datos!AM17))
     ),IF(D_I="SI",(Datos!K17-Datos!U17)/Datos!U17,(Datos!K17+Datos!AE17-(Datos!U17+Datos!AM17))/(Datos!U17+Datos!AM17))," - ")</f>
        <v>0.37931034482758619</v>
      </c>
      <c r="G17" s="349">
        <f>IF(ISNUMBER(
   IF(D_I="SI",(Datos!L17-Datos!V17)/Datos!V17,(Datos!L17+Datos!AF17-(Datos!V17+Datos!AN17))/(Datos!V17+Datos!AN17))
     ),IF(D_I="SI",(Datos!L17-Datos!V17)/Datos!V17,(Datos!L17+Datos!AF17-(Datos!V17+Datos!AN17))/(Datos!V17+Datos!AN17))," - ")</f>
        <v>-0.8392857142857143</v>
      </c>
      <c r="H17" s="230">
        <f>IF(ISNUMBER((Datos!M17-Datos!W17)/Datos!W17),(Datos!M17-Datos!W17)/Datos!W17," - ")</f>
        <v>-0.94736842105263153</v>
      </c>
      <c r="I17" s="350">
        <f>IF(ISNUMBER((Tasas!C17-Datos!BE17)/Datos!BE17),(Tasas!C17-Datos!BE17)/Datos!BE17," - ")</f>
        <v>-0.88348214285714277</v>
      </c>
      <c r="J17" s="349">
        <f>IF(ISNUMBER((Tasas!D17-Datos!BF17)/Datos!BF17),(Tasas!D17-Datos!BF17)/Datos!BF17," - ")</f>
        <v>-0.96184210526315783</v>
      </c>
      <c r="K17" s="351">
        <f>IF(ISNUMBER((Tasas!E17-Datos!BG17)/Datos!BG17),(Tasas!E17-Datos!BG17)/Datos!BG17," - ")</f>
        <v>-0.58205882352941174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-0.22234392113910187</v>
      </c>
      <c r="E18" s="354">
        <f>IF(ISNUMBER(
   IF(D_I="SI",(Datos!J18-Datos!T18)/Datos!T18,(Datos!J18+Datos!AD18-(Datos!T18+Datos!AL18))/(Datos!T18+Datos!AL18))
     ),IF(D_I="SI",(Datos!J18-Datos!T18)/Datos!T18,(Datos!J18+Datos!AD18-(Datos!T18+Datos!AL18))/(Datos!T18+Datos!AL18))," - ")</f>
        <v>8.3003952569169967E-2</v>
      </c>
      <c r="F18" s="354">
        <f>IF(ISNUMBER(
   IF(D_I="SI",(Datos!K18-Datos!U18)/Datos!U18,(Datos!K18+Datos!AE18-(Datos!U18+Datos!AM18))/(Datos!U18+Datos!AM18))
     ),IF(D_I="SI",(Datos!K18-Datos!U18)/Datos!U18,(Datos!K18+Datos!AE18-(Datos!U18+Datos!AM18))/(Datos!U18+Datos!AM18))," - ")</f>
        <v>0.2018867924528302</v>
      </c>
      <c r="G18" s="355">
        <f>IF(ISNUMBER(
   IF(D_I="SI",(Datos!L18-Datos!V18)/Datos!V18,(Datos!L18+Datos!AF18-(Datos!V18+Datos!AN18))/(Datos!V18+Datos!AN18))
     ),IF(D_I="SI",(Datos!L18-Datos!V18)/Datos!V18,(Datos!L18+Datos!AF18-(Datos!V18+Datos!AN18))/(Datos!V18+Datos!AN18))," - ")</f>
        <v>-0.30146231721034872</v>
      </c>
      <c r="H18" s="356">
        <f>IF(ISNUMBER((Datos!M18-Datos!W18)/Datos!W18),(Datos!M18-Datos!W18)/Datos!W18," - ")</f>
        <v>-0.38043478260869568</v>
      </c>
      <c r="I18" s="357">
        <f>IF(ISNUMBER((Tasas!C18-Datos!BE18)/Datos!BE18),(Tasas!C18-Datos!BE18)/Datos!BE18," - ")</f>
        <v>-0.41879910223153033</v>
      </c>
      <c r="J18" s="355">
        <f>IF(ISNUMBER((Tasas!D18-Datos!BF18)/Datos!BF18),(Tasas!D18-Datos!BF18)/Datos!BF18," - ")</f>
        <v>-0.48450617705276083</v>
      </c>
      <c r="K18" s="358">
        <f>IF(ISNUMBER((Tasas!E18-Datos!BG18)/Datos!BG18),(Tasas!E18-Datos!BG18)/Datos!BG18," - ")</f>
        <v>-0.26237660456929562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-0.10514541387024609</v>
      </c>
      <c r="E19" s="363">
        <f>IF(ISNUMBER(
   IF(J_V="SI",(Datos!J19-Datos!T19)/Datos!T19,(Datos!J19+Datos!Z19-(Datos!T19+Datos!AH19))/(Datos!T19+Datos!AH19))
     ),IF(J_V="SI",(Datos!J19-Datos!T19)/Datos!T19,(Datos!J19+Datos!Z19-(Datos!T19+Datos!AH19))/(Datos!T19+Datos!AH19))," - ")</f>
        <v>0.40228426395939088</v>
      </c>
      <c r="F19" s="363">
        <f>IF(ISNUMBER(
   IF(J_V="SI",(Datos!K19-Datos!U19)/Datos!U19,(Datos!K19+Datos!AA19-(Datos!U19+Datos!AI19))/(Datos!U19+Datos!AI19))
     ),IF(J_V="SI",(Datos!K19-Datos!U19)/Datos!U19,(Datos!K19+Datos!AA19-(Datos!U19+Datos!AI19))/(Datos!U19+Datos!AI19))," - ")</f>
        <v>-3.3632286995515695E-2</v>
      </c>
      <c r="G19" s="364">
        <f>IF(ISNUMBER(
   IF(J_V="SI",(Datos!L19-Datos!V19)/Datos!V19,(Datos!L19+Datos!AB19-(Datos!V19+Datos!AJ19))/(Datos!V19+Datos!AJ19))
     ),IF(J_V="SI",(Datos!L19-Datos!V19)/Datos!V19,(Datos!L19+Datos!AB19-(Datos!V19+Datos!AJ19))/(Datos!V19+Datos!AJ19))," - ")</f>
        <v>9.4418052256532062E-2</v>
      </c>
      <c r="H19" s="365">
        <f>IF(ISNUMBER((Datos!M19-Datos!W19)/Datos!W19),(Datos!M19-Datos!W19)/Datos!W19," - ")</f>
        <v>-0.32085561497326204</v>
      </c>
      <c r="I19" s="362">
        <f>IF(ISNUMBER((Tasas!C19-Datos!BE19)/Datos!BE19),(Tasas!C19-Datos!BE19)/Datos!BE19," - ")</f>
        <v>0.13250684757868514</v>
      </c>
      <c r="J19" s="363">
        <f>IF(ISNUMBER((Tasas!D19-Datos!BF19)/Datos!BF19),(Tasas!D19-Datos!BF19)/Datos!BF19," - ")</f>
        <v>-0.30831603370374899</v>
      </c>
      <c r="K19" s="364">
        <f>IF(ISNUMBER((Tasas!E19-Datos!BG19)/Datos!BG19),(Tasas!E19-Datos!BG19)/Datos!BG19," - ")</f>
        <v>8.6623265264947888E-2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0.33594407664253906</v>
      </c>
      <c r="E21" s="278">
        <f t="shared" si="1"/>
        <v>0.53950161905321903</v>
      </c>
      <c r="F21" s="278">
        <f t="shared" si="1"/>
        <v>0.10552524952888656</v>
      </c>
      <c r="G21" s="279">
        <f t="shared" si="1"/>
        <v>0.40051380176972129</v>
      </c>
      <c r="H21" s="285">
        <f t="shared" si="1"/>
        <v>0.30029340273164967</v>
      </c>
      <c r="I21" s="277">
        <f t="shared" si="1"/>
        <v>1.1515365983183854</v>
      </c>
      <c r="J21" s="278">
        <f t="shared" si="1"/>
        <v>0.46845795955148056</v>
      </c>
      <c r="K21" s="279">
        <f t="shared" si="1"/>
        <v>0.77256628635117863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0UzZU0rb/4rDJn+4PD7h13Fu1cAMj+CiwgWukouI9hp6NwdZycCBhuVdI7K8Ot8OMAEdvXVYsT2sR9heeDZaw==" saltValue="F/kjsOdZ/O6Mjao+gSOCo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